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defaultThemeVersion="124226"/>
  <xr:revisionPtr revIDLastSave="0" documentId="13_ncr:1_{4EABFA90-0B53-49FE-B731-86BEFDA0A489}" xr6:coauthVersionLast="47" xr6:coauthVersionMax="47" xr10:uidLastSave="{00000000-0000-0000-0000-000000000000}"/>
  <bookViews>
    <workbookView xWindow="-120" yWindow="-120" windowWidth="24240" windowHeight="13020" tabRatio="601" firstSheet="13" activeTab="16" xr2:uid="{00000000-000D-0000-FFFF-FFFF00000000}"/>
  </bookViews>
  <sheets>
    <sheet name="Note for users" sheetId="82" r:id="rId1"/>
    <sheet name="1.Project Cost and MOF" sheetId="62" r:id="rId2"/>
    <sheet name="2.Capex Details" sheetId="57" r:id="rId3"/>
    <sheet name="3.Other Exp &amp; Taxes" sheetId="22" r:id="rId4"/>
    <sheet name="Sheet1" sheetId="86" state="hidden"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r:id="rId12"/>
    <sheet name="11.F&amp;V Crop Production details" sheetId="83" state="hidden" r:id="rId13"/>
    <sheet name="12.Facility 1 - Flour Mill" sheetId="55" r:id="rId14"/>
    <sheet name="13.Facility 2 Cleaning &amp; Gradin" sheetId="72" r:id="rId15"/>
    <sheet name="14. Facility 3 Warehouse" sheetId="42" r:id="rId16"/>
    <sheet name="Sheet3" sheetId="90" r:id="rId17"/>
    <sheet name="15. Facility 4 Custom Hiring" sheetId="48" state="hidden" r:id="rId18"/>
    <sheet name="16.Facility 5 Agri Input" sheetId="53" state="hidden" r:id="rId19"/>
    <sheet name="17.Facility 6 Roasted Channa " sheetId="84" state="hidden" r:id="rId20"/>
    <sheet name="VGF" sheetId="85" state="hidden" r:id="rId21"/>
    <sheet name="Sheet2" sheetId="88" state="hidden" r:id="rId22"/>
    <sheet name="Benefit to farmer" sheetId="89" state="hidden" r:id="rId23"/>
  </sheets>
  <externalReferences>
    <externalReference r:id="rId24"/>
    <externalReference r:id="rId25"/>
    <externalReference r:id="rId26"/>
    <externalReference r:id="rId27"/>
    <externalReference r:id="rId28"/>
    <externalReference r:id="rId29"/>
  </externalReferences>
  <definedNames>
    <definedName name="_Fill" hidden="1">#REF!</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MOF'!$A$1:$F$35</definedName>
    <definedName name="_xlnm.Print_Area" localSheetId="11">'10.Grain Production details'!$A$1:$Z$114</definedName>
    <definedName name="_xlnm.Print_Area" localSheetId="12">'11.F&amp;V Crop Production details'!$A$1:$Z$127</definedName>
    <definedName name="_xlnm.Print_Area" localSheetId="13">'12.Facility 1 - Flour Mill'!$A$1:$J$220</definedName>
    <definedName name="_xlnm.Print_Area" localSheetId="14">'13.Facility 2 Cleaning &amp; Gradin'!$A$3:$J$185</definedName>
    <definedName name="_xlnm.Print_Area" localSheetId="15">'14. Facility 3 Warehouse'!$A$1:$K$56</definedName>
    <definedName name="_xlnm.Print_Area" localSheetId="17">'15. Facility 4 Custom Hiring'!$A$1:$U$58</definedName>
    <definedName name="_xlnm.Print_Area" localSheetId="18">'16.Facility 5 Agri Input'!$A$1:$J$281</definedName>
    <definedName name="_xlnm.Print_Area" localSheetId="19">'17.Facility 6 Roasted Channa '!$A$1:$J$192</definedName>
    <definedName name="_xlnm.Print_Area" localSheetId="2">'2.Capex Details'!$A$1:$H$185</definedName>
    <definedName name="_xlnm.Print_Area" localSheetId="3">'3.Other Exp &amp; Taxes'!$A$1:$R$106</definedName>
    <definedName name="_xlnm.Print_Area" localSheetId="5">'4.TL repayment sch'!$A$1:$H$80</definedName>
    <definedName name="_xlnm.Print_Area" localSheetId="6">'5.Closing Stock &amp; W Capital'!$A$1:$L$64</definedName>
    <definedName name="_xlnm.Print_Area" localSheetId="7">'6.Cons Profit &amp; Loss'!$A$1:$I$56</definedName>
    <definedName name="_xlnm.Print_Area" localSheetId="8">'7.Balance Sheet'!$A$1:$I$50</definedName>
    <definedName name="_xlnm.Print_Area" localSheetId="9">'8.Cash Flow '!$A$1:$J$38</definedName>
    <definedName name="_xlnm.Print_Area" localSheetId="10">'9.1 Financial indiacators'!$B$1:$M$183</definedName>
    <definedName name="_xlnm.Print_Area" localSheetId="22">'Benefit to farmer'!$A$1:$D$34</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7" i="57" l="1"/>
  <c r="C69" i="86"/>
  <c r="B190" i="55"/>
  <c r="G78" i="57"/>
  <c r="G79" i="57" s="1"/>
  <c r="G80" i="57" s="1"/>
  <c r="E69" i="86" s="1"/>
  <c r="F69" i="86" s="1"/>
  <c r="C181" i="55"/>
  <c r="C180" i="55"/>
  <c r="G73" i="57"/>
  <c r="I73" i="57" s="1"/>
  <c r="G74" i="57"/>
  <c r="G44" i="57"/>
  <c r="G43" i="57"/>
  <c r="G42" i="57"/>
  <c r="G41" i="57"/>
  <c r="G40" i="57"/>
  <c r="G39" i="57"/>
  <c r="G34" i="57"/>
  <c r="G33" i="57"/>
  <c r="G32" i="57"/>
  <c r="G31" i="57"/>
  <c r="G30" i="57"/>
  <c r="G29" i="57"/>
  <c r="G28" i="57"/>
  <c r="G27" i="57"/>
  <c r="G32" i="62"/>
  <c r="C68" i="86"/>
  <c r="C67" i="86"/>
  <c r="C66" i="86"/>
  <c r="E65" i="86"/>
  <c r="E64" i="86"/>
  <c r="E63" i="86"/>
  <c r="C65" i="86"/>
  <c r="C64" i="86"/>
  <c r="C63" i="86"/>
  <c r="C9" i="61"/>
  <c r="C8" i="61"/>
  <c r="C7" i="61"/>
  <c r="C154" i="84"/>
  <c r="G75" i="57" l="1"/>
  <c r="G45" i="57"/>
  <c r="B154" i="72"/>
  <c r="B13" i="84"/>
  <c r="H70" i="57"/>
  <c r="G59" i="57"/>
  <c r="G67" i="57"/>
  <c r="G66" i="57"/>
  <c r="G62" i="57"/>
  <c r="G64" i="57"/>
  <c r="G63" i="57"/>
  <c r="G61" i="57"/>
  <c r="G57" i="57"/>
  <c r="G58" i="57"/>
  <c r="G55" i="57"/>
  <c r="G54" i="57"/>
  <c r="G53" i="57"/>
  <c r="G52" i="57"/>
  <c r="H46" i="57"/>
  <c r="G21" i="57"/>
  <c r="I8" i="57"/>
  <c r="J8" i="57" s="1"/>
  <c r="F7" i="57"/>
  <c r="M6" i="55"/>
  <c r="N6" i="55" s="1"/>
  <c r="M5" i="55"/>
  <c r="D30" i="42"/>
  <c r="D204" i="55"/>
  <c r="E10" i="22"/>
  <c r="O6" i="55" l="1"/>
  <c r="F6" i="57"/>
  <c r="F8" i="57"/>
  <c r="G26" i="57"/>
  <c r="G25" i="57"/>
  <c r="G24" i="57"/>
  <c r="G23" i="57"/>
  <c r="G22" i="57"/>
  <c r="L78" i="86"/>
  <c r="L76" i="86"/>
  <c r="F61" i="86"/>
  <c r="L77" i="86"/>
  <c r="K196" i="55"/>
  <c r="B143" i="72"/>
  <c r="D167" i="72"/>
  <c r="D166" i="72"/>
  <c r="E8" i="22"/>
  <c r="E50" i="48"/>
  <c r="G50" i="48"/>
  <c r="A22" i="89"/>
  <c r="A21" i="89"/>
  <c r="C21" i="89"/>
  <c r="D21" i="89" s="1"/>
  <c r="B21" i="89"/>
  <c r="C27" i="89"/>
  <c r="C30" i="89" s="1"/>
  <c r="B27" i="89"/>
  <c r="B30" i="89" s="1"/>
  <c r="D29" i="89"/>
  <c r="D28" i="89"/>
  <c r="A32" i="89"/>
  <c r="A31" i="89"/>
  <c r="A29" i="89"/>
  <c r="A28" i="89"/>
  <c r="A27" i="89"/>
  <c r="C8" i="89"/>
  <c r="D8" i="89" s="1"/>
  <c r="B8" i="89"/>
  <c r="B22" i="89" s="1"/>
  <c r="D3" i="89"/>
  <c r="D25" i="89"/>
  <c r="C25" i="89"/>
  <c r="B25" i="89"/>
  <c r="A36" i="48"/>
  <c r="B16" i="48"/>
  <c r="A35" i="48" s="1"/>
  <c r="B15" i="48"/>
  <c r="A34" i="48" s="1"/>
  <c r="B14" i="48"/>
  <c r="A33" i="48" s="1"/>
  <c r="B12" i="48"/>
  <c r="A31" i="48" s="1"/>
  <c r="K8" i="88"/>
  <c r="J7" i="88"/>
  <c r="K7" i="88" s="1"/>
  <c r="B13" i="48"/>
  <c r="A32" i="48" s="1"/>
  <c r="F8" i="48"/>
  <c r="H8" i="48" s="1"/>
  <c r="J8" i="48" s="1"/>
  <c r="M8" i="48"/>
  <c r="D203" i="55"/>
  <c r="F22" i="48"/>
  <c r="G22" i="48" s="1"/>
  <c r="E174" i="55"/>
  <c r="E204" i="55" s="1"/>
  <c r="G50" i="57"/>
  <c r="G51" i="57"/>
  <c r="B10" i="42"/>
  <c r="D21" i="42" s="1"/>
  <c r="D23" i="42" s="1"/>
  <c r="B63" i="55"/>
  <c r="B32" i="55"/>
  <c r="B162" i="55"/>
  <c r="B163" i="55"/>
  <c r="B164" i="55"/>
  <c r="B59" i="55"/>
  <c r="B116" i="55" s="1"/>
  <c r="B168" i="55" s="1"/>
  <c r="D27" i="48"/>
  <c r="F9" i="48"/>
  <c r="H9" i="48" s="1"/>
  <c r="D28" i="48"/>
  <c r="F10" i="48"/>
  <c r="H10" i="48" s="1"/>
  <c r="C29" i="48" s="1"/>
  <c r="D29" i="48"/>
  <c r="F11" i="48"/>
  <c r="H11" i="48" s="1"/>
  <c r="D30" i="48"/>
  <c r="D31" i="48"/>
  <c r="D32" i="48"/>
  <c r="D33" i="48"/>
  <c r="D34" i="48"/>
  <c r="D35" i="48"/>
  <c r="C36" i="48"/>
  <c r="D36" i="48"/>
  <c r="D27" i="42"/>
  <c r="D28" i="42"/>
  <c r="M11" i="48"/>
  <c r="M10" i="48"/>
  <c r="M9" i="48"/>
  <c r="M12" i="48"/>
  <c r="M13" i="48"/>
  <c r="M14" i="48"/>
  <c r="M15" i="48"/>
  <c r="M16" i="48"/>
  <c r="G9" i="57"/>
  <c r="G10" i="57"/>
  <c r="D182" i="57"/>
  <c r="E133" i="72"/>
  <c r="B7" i="81"/>
  <c r="B9" i="81" s="1"/>
  <c r="B7" i="83"/>
  <c r="B9" i="83" s="1"/>
  <c r="D22" i="83" s="1"/>
  <c r="F22" i="83" s="1"/>
  <c r="H22" i="83" s="1"/>
  <c r="B82" i="83" s="1"/>
  <c r="D15" i="83"/>
  <c r="B103" i="83" s="1"/>
  <c r="D18" i="83"/>
  <c r="D19" i="83"/>
  <c r="D21" i="83"/>
  <c r="B109" i="83" s="1"/>
  <c r="B110" i="83"/>
  <c r="C32" i="83"/>
  <c r="D33" i="83" s="1"/>
  <c r="D34" i="83"/>
  <c r="D37" i="83"/>
  <c r="D39" i="83"/>
  <c r="D40" i="83"/>
  <c r="B126" i="83" s="1"/>
  <c r="C57" i="53" s="1"/>
  <c r="C110" i="53" s="1"/>
  <c r="F15" i="83"/>
  <c r="H15" i="83" s="1"/>
  <c r="B47" i="83" s="1"/>
  <c r="F21" i="83"/>
  <c r="H21" i="83" s="1"/>
  <c r="F40" i="83"/>
  <c r="H40" i="83" s="1"/>
  <c r="B70" i="83" s="1"/>
  <c r="B98" i="83"/>
  <c r="D29" i="42"/>
  <c r="H32" i="55"/>
  <c r="G32" i="55"/>
  <c r="G63" i="55"/>
  <c r="H63" i="55"/>
  <c r="C33" i="72"/>
  <c r="D33" i="72" s="1"/>
  <c r="D34" i="72" s="1"/>
  <c r="H162" i="55"/>
  <c r="G162" i="55"/>
  <c r="H163" i="55"/>
  <c r="G163" i="55"/>
  <c r="H164" i="55"/>
  <c r="G164" i="55"/>
  <c r="B34" i="72"/>
  <c r="F32" i="55"/>
  <c r="F63" i="55"/>
  <c r="F162" i="55"/>
  <c r="F163" i="55"/>
  <c r="F164" i="55"/>
  <c r="E32" i="55"/>
  <c r="E63" i="55"/>
  <c r="E162" i="55"/>
  <c r="E163" i="55"/>
  <c r="E164" i="55"/>
  <c r="D32" i="55"/>
  <c r="D63" i="55"/>
  <c r="D162" i="55"/>
  <c r="D163" i="55"/>
  <c r="D164" i="55"/>
  <c r="C32" i="55"/>
  <c r="C63" i="55"/>
  <c r="F27" i="42"/>
  <c r="C162" i="55"/>
  <c r="C163" i="55"/>
  <c r="C164" i="55"/>
  <c r="D10" i="42"/>
  <c r="E27" i="42"/>
  <c r="E28" i="42"/>
  <c r="E29" i="42"/>
  <c r="E37" i="42"/>
  <c r="E43" i="42" s="1"/>
  <c r="E181" i="84"/>
  <c r="C10" i="42"/>
  <c r="E21" i="42" s="1"/>
  <c r="E23" i="42" s="1"/>
  <c r="D37" i="42"/>
  <c r="D43" i="42"/>
  <c r="B30" i="21" s="1"/>
  <c r="D266" i="53"/>
  <c r="D267" i="53"/>
  <c r="D268" i="53"/>
  <c r="D269" i="53"/>
  <c r="D180" i="84"/>
  <c r="D181" i="84"/>
  <c r="E9" i="22"/>
  <c r="E11" i="22"/>
  <c r="E15" i="22"/>
  <c r="E12" i="22"/>
  <c r="E13" i="22"/>
  <c r="E14" i="22"/>
  <c r="E16" i="22"/>
  <c r="E17" i="22"/>
  <c r="C10" i="62"/>
  <c r="C9" i="62"/>
  <c r="C8" i="62"/>
  <c r="C7" i="62"/>
  <c r="C6" i="62"/>
  <c r="C5" i="62"/>
  <c r="A259" i="85"/>
  <c r="A258" i="85"/>
  <c r="A257" i="85"/>
  <c r="A256" i="85"/>
  <c r="B226" i="85"/>
  <c r="C226" i="85"/>
  <c r="D226" i="85"/>
  <c r="E226" i="85" s="1"/>
  <c r="F226" i="85" s="1"/>
  <c r="G226" i="85" s="1"/>
  <c r="H226" i="85" s="1"/>
  <c r="A198" i="85"/>
  <c r="A197" i="85"/>
  <c r="A196" i="85"/>
  <c r="A195" i="85"/>
  <c r="A194" i="85"/>
  <c r="A193" i="85"/>
  <c r="A23" i="85"/>
  <c r="A33" i="85"/>
  <c r="A22" i="85"/>
  <c r="A32" i="85"/>
  <c r="A21" i="85"/>
  <c r="A31" i="85" s="1"/>
  <c r="A20" i="85"/>
  <c r="A30" i="85"/>
  <c r="A19" i="85"/>
  <c r="A29" i="85"/>
  <c r="A18" i="85"/>
  <c r="A28" i="85" s="1"/>
  <c r="B113" i="81"/>
  <c r="C30" i="53"/>
  <c r="C83" i="53" s="1"/>
  <c r="C31" i="53"/>
  <c r="C84" i="53"/>
  <c r="C40" i="81"/>
  <c r="D40" i="81" s="1"/>
  <c r="E40" i="81" s="1"/>
  <c r="F40" i="81" s="1"/>
  <c r="G40" i="81" s="1"/>
  <c r="H40" i="81" s="1"/>
  <c r="C65" i="81"/>
  <c r="D65" i="81" s="1"/>
  <c r="E65" i="81" s="1"/>
  <c r="F65" i="81" s="1"/>
  <c r="G65" i="81" s="1"/>
  <c r="H65" i="81" s="1"/>
  <c r="C90" i="81"/>
  <c r="D90" i="81" s="1"/>
  <c r="E90" i="81" s="1"/>
  <c r="F90" i="81" s="1"/>
  <c r="G90" i="81" s="1"/>
  <c r="H90" i="81" s="1"/>
  <c r="D31" i="53"/>
  <c r="D84" i="53"/>
  <c r="E31" i="53"/>
  <c r="E84" i="53"/>
  <c r="F31" i="53"/>
  <c r="F84" i="53"/>
  <c r="G31" i="53"/>
  <c r="G84" i="53"/>
  <c r="H31" i="53"/>
  <c r="H84" i="53" s="1"/>
  <c r="I31" i="53"/>
  <c r="I84" i="53"/>
  <c r="E23" i="22"/>
  <c r="E22" i="22"/>
  <c r="E21" i="22"/>
  <c r="E20" i="22"/>
  <c r="E19" i="22"/>
  <c r="E18" i="22"/>
  <c r="C182" i="53"/>
  <c r="B41" i="84"/>
  <c r="D206" i="53"/>
  <c r="D215" i="53"/>
  <c r="D244" i="53"/>
  <c r="C44" i="83"/>
  <c r="D44" i="83"/>
  <c r="E44" i="83" s="1"/>
  <c r="F44" i="83" s="1"/>
  <c r="G44" i="83" s="1"/>
  <c r="H44" i="83" s="1"/>
  <c r="C72" i="83"/>
  <c r="D72" i="83" s="1"/>
  <c r="E72" i="83" s="1"/>
  <c r="F72" i="83" s="1"/>
  <c r="G72" i="83"/>
  <c r="H72" i="83" s="1"/>
  <c r="E149" i="84"/>
  <c r="E180" i="84" s="1"/>
  <c r="K12" i="83"/>
  <c r="H31" i="84"/>
  <c r="H32" i="84"/>
  <c r="H33" i="84"/>
  <c r="C74" i="83"/>
  <c r="F4" i="22"/>
  <c r="E124" i="53"/>
  <c r="C100" i="83"/>
  <c r="D100" i="83"/>
  <c r="E100" i="83"/>
  <c r="F100" i="83" s="1"/>
  <c r="G100" i="83" s="1"/>
  <c r="H100" i="83"/>
  <c r="E17" i="42"/>
  <c r="E30" i="42" s="1"/>
  <c r="C9" i="42"/>
  <c r="D9" i="42"/>
  <c r="A42" i="81"/>
  <c r="A67" i="83"/>
  <c r="A56" i="55" s="1"/>
  <c r="A113" i="55" s="1"/>
  <c r="A165" i="55" s="1"/>
  <c r="A95" i="83"/>
  <c r="A66" i="83"/>
  <c r="A94" i="83" s="1"/>
  <c r="A65" i="83"/>
  <c r="A93" i="83"/>
  <c r="A64" i="83"/>
  <c r="A92" i="83" s="1"/>
  <c r="V8" i="61"/>
  <c r="V9" i="61"/>
  <c r="V10" i="61"/>
  <c r="V12" i="61"/>
  <c r="V13" i="61"/>
  <c r="U13" i="61"/>
  <c r="U12" i="61"/>
  <c r="U10" i="61"/>
  <c r="U11" i="61"/>
  <c r="U9" i="61"/>
  <c r="O13" i="61"/>
  <c r="P13" i="61" s="1"/>
  <c r="Q13" i="61" s="1"/>
  <c r="R13" i="61" s="1"/>
  <c r="N13" i="61"/>
  <c r="O12" i="61"/>
  <c r="P12" i="61" s="1"/>
  <c r="Q12" i="61" s="1"/>
  <c r="R12" i="61" s="1"/>
  <c r="N12" i="61"/>
  <c r="N11" i="61"/>
  <c r="N10" i="61"/>
  <c r="O10" i="61"/>
  <c r="P10" i="61" s="1"/>
  <c r="Q10" i="61" s="1"/>
  <c r="R10" i="61" s="1"/>
  <c r="O9" i="61"/>
  <c r="P9" i="61" s="1"/>
  <c r="Q9" i="61" s="1"/>
  <c r="N9" i="61"/>
  <c r="R8" i="61"/>
  <c r="Q8" i="61"/>
  <c r="P8" i="61"/>
  <c r="P16" i="61" s="1"/>
  <c r="O8" i="61"/>
  <c r="C15" i="61"/>
  <c r="I173" i="29"/>
  <c r="H173" i="29"/>
  <c r="G173" i="29"/>
  <c r="F173" i="29"/>
  <c r="E173" i="29"/>
  <c r="D173" i="29"/>
  <c r="C173" i="29"/>
  <c r="B128" i="29"/>
  <c r="B143" i="29" s="1"/>
  <c r="B158" i="29" s="1"/>
  <c r="B173" i="29" s="1"/>
  <c r="B127" i="29"/>
  <c r="B142" i="29" s="1"/>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s="1"/>
  <c r="B171" i="29" s="1"/>
  <c r="B125" i="29"/>
  <c r="B140" i="29" s="1"/>
  <c r="B155" i="29" s="1"/>
  <c r="B170" i="29" s="1"/>
  <c r="B124" i="29"/>
  <c r="B139" i="29" s="1"/>
  <c r="B154" i="29" s="1"/>
  <c r="B169" i="29" s="1"/>
  <c r="B123" i="29"/>
  <c r="B138" i="29" s="1"/>
  <c r="B153" i="29" s="1"/>
  <c r="B168" i="29" s="1"/>
  <c r="B122" i="29"/>
  <c r="B37" i="29"/>
  <c r="B36" i="29"/>
  <c r="B35" i="29"/>
  <c r="B34" i="29"/>
  <c r="B33" i="29"/>
  <c r="B32" i="29"/>
  <c r="C53" i="61"/>
  <c r="C52" i="61"/>
  <c r="C51" i="61"/>
  <c r="C50" i="61"/>
  <c r="C49" i="61"/>
  <c r="C48" i="61"/>
  <c r="A23" i="21"/>
  <c r="A33" i="21" s="1"/>
  <c r="A156" i="84"/>
  <c r="A55" i="55"/>
  <c r="A112" i="55" s="1"/>
  <c r="A164" i="55" s="1"/>
  <c r="A53" i="55"/>
  <c r="A110" i="55" s="1"/>
  <c r="A162" i="55" s="1"/>
  <c r="A179" i="53"/>
  <c r="A244" i="53"/>
  <c r="A70" i="83"/>
  <c r="A69" i="83"/>
  <c r="A68" i="83"/>
  <c r="A96" i="83" s="1"/>
  <c r="A63" i="83"/>
  <c r="A91" i="83"/>
  <c r="A62" i="83"/>
  <c r="A90" i="83"/>
  <c r="A61" i="83"/>
  <c r="A89" i="83"/>
  <c r="A28" i="84" s="1"/>
  <c r="A59" i="84" s="1"/>
  <c r="A120" i="84" s="1"/>
  <c r="A60" i="83"/>
  <c r="A49" i="55" s="1"/>
  <c r="A106" i="55" s="1"/>
  <c r="A158" i="55" s="1"/>
  <c r="A59" i="83"/>
  <c r="A87" i="83" s="1"/>
  <c r="A115" i="83" s="1"/>
  <c r="A58" i="83"/>
  <c r="A86" i="83"/>
  <c r="A57" i="83"/>
  <c r="A85" i="83" s="1"/>
  <c r="A113" i="83" s="1"/>
  <c r="A44" i="53" s="1"/>
  <c r="A56" i="83"/>
  <c r="A55" i="83"/>
  <c r="A44" i="55" s="1"/>
  <c r="A101" i="55" s="1"/>
  <c r="A153" i="55" s="1"/>
  <c r="A54" i="83"/>
  <c r="A53" i="83"/>
  <c r="A42" i="55" s="1"/>
  <c r="A99" i="55" s="1"/>
  <c r="A151" i="55" s="1"/>
  <c r="A81" i="83"/>
  <c r="A109" i="83"/>
  <c r="A40" i="53" s="1"/>
  <c r="A52" i="83"/>
  <c r="A51" i="83"/>
  <c r="A79" i="83"/>
  <c r="A50" i="83"/>
  <c r="A49" i="83"/>
  <c r="A38" i="55"/>
  <c r="A95" i="55" s="1"/>
  <c r="A147" i="55" s="1"/>
  <c r="A77" i="83"/>
  <c r="A105" i="83"/>
  <c r="A36" i="53" s="1"/>
  <c r="A48" i="83"/>
  <c r="A47" i="83"/>
  <c r="A75" i="83"/>
  <c r="A46" i="83"/>
  <c r="A35" i="55"/>
  <c r="A92" i="55" s="1"/>
  <c r="A144" i="55" s="1"/>
  <c r="A32" i="53"/>
  <c r="A31" i="53"/>
  <c r="A84" i="53" s="1"/>
  <c r="A62" i="81"/>
  <c r="A31" i="55" s="1"/>
  <c r="A88" i="55" s="1"/>
  <c r="A140" i="55" s="1"/>
  <c r="A61" i="81"/>
  <c r="A86" i="81"/>
  <c r="A111" i="81" s="1"/>
  <c r="A29" i="53" s="1"/>
  <c r="A60" i="81"/>
  <c r="A43" i="81"/>
  <c r="A68" i="81" s="1"/>
  <c r="A34" i="55"/>
  <c r="A91" i="55" s="1"/>
  <c r="A143" i="55" s="1"/>
  <c r="A40" i="55"/>
  <c r="A97" i="55" s="1"/>
  <c r="A149" i="55" s="1"/>
  <c r="A46" i="55"/>
  <c r="A103" i="55" s="1"/>
  <c r="A155" i="55" s="1"/>
  <c r="A50" i="55"/>
  <c r="A107" i="55" s="1"/>
  <c r="A159" i="55" s="1"/>
  <c r="A51" i="55"/>
  <c r="A108" i="55" s="1"/>
  <c r="A160" i="55" s="1"/>
  <c r="A30" i="55"/>
  <c r="A87" i="55" s="1"/>
  <c r="A139" i="55" s="1"/>
  <c r="A59" i="81"/>
  <c r="A28" i="55"/>
  <c r="A85" i="55" s="1"/>
  <c r="A137" i="55" s="1"/>
  <c r="A20" i="84"/>
  <c r="A51" i="84" s="1"/>
  <c r="A94" i="84" s="1"/>
  <c r="C40" i="84"/>
  <c r="D40" i="84" s="1"/>
  <c r="E40" i="84" s="1"/>
  <c r="G43" i="21"/>
  <c r="H61" i="29" s="1"/>
  <c r="H43" i="21"/>
  <c r="J97" i="29"/>
  <c r="H88" i="22"/>
  <c r="G43" i="85" s="1"/>
  <c r="I88" i="22"/>
  <c r="H43" i="85" s="1"/>
  <c r="A62" i="22"/>
  <c r="A63" i="22"/>
  <c r="A64" i="22"/>
  <c r="A65" i="22"/>
  <c r="B137" i="29"/>
  <c r="B152" i="29" s="1"/>
  <c r="B167" i="29" s="1"/>
  <c r="C65" i="29"/>
  <c r="D65" i="29" s="1"/>
  <c r="E65" i="29" s="1"/>
  <c r="F65" i="29" s="1"/>
  <c r="G65" i="29" s="1"/>
  <c r="H65" i="29" s="1"/>
  <c r="I65" i="29" s="1"/>
  <c r="I12" i="29"/>
  <c r="V12" i="83"/>
  <c r="W12" i="83"/>
  <c r="X12" i="83" s="1"/>
  <c r="P12" i="83"/>
  <c r="Q12" i="83"/>
  <c r="R12" i="83" s="1"/>
  <c r="S12" i="83" s="1"/>
  <c r="T12" i="83"/>
  <c r="K12" i="81"/>
  <c r="L12" i="81" s="1"/>
  <c r="M12" i="81" s="1"/>
  <c r="N12" i="81" s="1"/>
  <c r="A44" i="81"/>
  <c r="A69" i="81"/>
  <c r="F12" i="48"/>
  <c r="H12" i="48" s="1"/>
  <c r="F13" i="48"/>
  <c r="H13" i="48" s="1"/>
  <c r="F14" i="48"/>
  <c r="H14" i="48" s="1"/>
  <c r="F15" i="48"/>
  <c r="H15" i="48" s="1"/>
  <c r="C34" i="48" s="1"/>
  <c r="F16" i="48"/>
  <c r="H16" i="48" s="1"/>
  <c r="A152" i="53"/>
  <c r="A220" i="53" s="1"/>
  <c r="A84" i="81"/>
  <c r="A109" i="81" s="1"/>
  <c r="A27" i="53" s="1"/>
  <c r="A80" i="53" s="1"/>
  <c r="A26" i="53"/>
  <c r="A79" i="53" s="1"/>
  <c r="A58" i="81"/>
  <c r="A57" i="81"/>
  <c r="A26" i="55" s="1"/>
  <c r="A83" i="55" s="1"/>
  <c r="A135" i="55" s="1"/>
  <c r="A56" i="81"/>
  <c r="A81" i="81"/>
  <c r="A55" i="81"/>
  <c r="A80" i="81"/>
  <c r="A54" i="81"/>
  <c r="A79" i="81" s="1"/>
  <c r="A104" i="81" s="1"/>
  <c r="A21" i="53" s="1"/>
  <c r="A53" i="81"/>
  <c r="A78" i="81" s="1"/>
  <c r="A52" i="81"/>
  <c r="A51" i="81"/>
  <c r="A28" i="72" s="1"/>
  <c r="A52" i="72" s="1"/>
  <c r="A76" i="81"/>
  <c r="A138" i="53"/>
  <c r="A206" i="53"/>
  <c r="A49" i="81"/>
  <c r="A74" i="81"/>
  <c r="A48" i="81"/>
  <c r="A17" i="55" s="1"/>
  <c r="A47" i="81"/>
  <c r="A72" i="81"/>
  <c r="A18" i="72" s="1"/>
  <c r="A46" i="81"/>
  <c r="A45" i="81"/>
  <c r="A70" i="81"/>
  <c r="A16" i="72" s="1"/>
  <c r="A129" i="53"/>
  <c r="A61" i="53"/>
  <c r="A70" i="53"/>
  <c r="A50" i="81"/>
  <c r="A75" i="81"/>
  <c r="A121" i="72"/>
  <c r="A25" i="55"/>
  <c r="A82" i="55" s="1"/>
  <c r="A134" i="55" s="1"/>
  <c r="A24" i="55"/>
  <c r="A81" i="55" s="1"/>
  <c r="A133" i="55" s="1"/>
  <c r="A23" i="55"/>
  <c r="A80" i="55" s="1"/>
  <c r="A132" i="55" s="1"/>
  <c r="A19" i="55"/>
  <c r="A76" i="55" s="1"/>
  <c r="A128" i="55" s="1"/>
  <c r="A18" i="55"/>
  <c r="A75" i="55" s="1"/>
  <c r="A127" i="55" s="1"/>
  <c r="A32" i="55"/>
  <c r="A89" i="55" s="1"/>
  <c r="A141" i="55" s="1"/>
  <c r="V12" i="81"/>
  <c r="W12" i="81"/>
  <c r="X12" i="81" s="1"/>
  <c r="P12" i="81"/>
  <c r="Q12" i="81"/>
  <c r="R12" i="81" s="1"/>
  <c r="S12" i="81"/>
  <c r="T12" i="81"/>
  <c r="A30" i="48"/>
  <c r="A29" i="48"/>
  <c r="A28" i="48"/>
  <c r="A27" i="48"/>
  <c r="B98" i="29"/>
  <c r="B97" i="29"/>
  <c r="B96" i="29"/>
  <c r="B95" i="29"/>
  <c r="A20" i="21"/>
  <c r="A30" i="21" s="1"/>
  <c r="A19" i="21"/>
  <c r="A29" i="21" s="1"/>
  <c r="A18" i="21"/>
  <c r="A28" i="21" s="1"/>
  <c r="A21" i="21"/>
  <c r="A31" i="21"/>
  <c r="A22" i="21"/>
  <c r="A32" i="21"/>
  <c r="H28" i="69"/>
  <c r="B17" i="68"/>
  <c r="B16" i="68"/>
  <c r="A252" i="53"/>
  <c r="A251" i="53"/>
  <c r="A250" i="53"/>
  <c r="A248" i="53"/>
  <c r="A247" i="53"/>
  <c r="A246" i="53"/>
  <c r="A245" i="53"/>
  <c r="A195" i="53"/>
  <c r="F17" i="42"/>
  <c r="A20" i="55"/>
  <c r="A77" i="55" s="1"/>
  <c r="A80" i="83"/>
  <c r="A19" i="84"/>
  <c r="A50" i="84"/>
  <c r="A91" i="84" s="1"/>
  <c r="A41" i="55"/>
  <c r="A98" i="55" s="1"/>
  <c r="A150" i="55" s="1"/>
  <c r="A48" i="55"/>
  <c r="A105" i="55" s="1"/>
  <c r="A157" i="55" s="1"/>
  <c r="A84" i="83"/>
  <c r="A112" i="83" s="1"/>
  <c r="A43" i="53" s="1"/>
  <c r="A45" i="55"/>
  <c r="A102" i="55" s="1"/>
  <c r="A154" i="55" s="1"/>
  <c r="A52" i="55"/>
  <c r="A109" i="55" s="1"/>
  <c r="A161" i="55" s="1"/>
  <c r="A153" i="53"/>
  <c r="A221" i="53"/>
  <c r="A85" i="53"/>
  <c r="A76" i="83"/>
  <c r="A15" i="84"/>
  <c r="A46" i="84" s="1"/>
  <c r="A75" i="84" s="1"/>
  <c r="A37" i="55"/>
  <c r="A94" i="55" s="1"/>
  <c r="A146" i="55" s="1"/>
  <c r="A118" i="83"/>
  <c r="A49" i="53" s="1"/>
  <c r="A102" i="53" s="1"/>
  <c r="A29" i="84"/>
  <c r="A60" i="84"/>
  <c r="A121" i="84" s="1"/>
  <c r="A97" i="83"/>
  <c r="A36" i="84" s="1"/>
  <c r="A64" i="84" s="1"/>
  <c r="A131" i="84" s="1"/>
  <c r="A58" i="55"/>
  <c r="A115" i="55" s="1"/>
  <c r="A167" i="55" s="1"/>
  <c r="E9" i="42"/>
  <c r="E10" i="42" s="1"/>
  <c r="I61" i="29"/>
  <c r="J12" i="29"/>
  <c r="A108" i="83"/>
  <c r="A39" i="53"/>
  <c r="A165" i="53"/>
  <c r="A233" i="53" s="1"/>
  <c r="A97" i="53"/>
  <c r="D151" i="53"/>
  <c r="D219" i="53"/>
  <c r="A85" i="81"/>
  <c r="A110" i="81" s="1"/>
  <c r="A28" i="53" s="1"/>
  <c r="A29" i="55"/>
  <c r="A86" i="55" s="1"/>
  <c r="A138" i="55" s="1"/>
  <c r="A107" i="83"/>
  <c r="A38" i="53"/>
  <c r="A18" i="84"/>
  <c r="A49" i="84"/>
  <c r="A87" i="84" s="1"/>
  <c r="A46" i="53"/>
  <c r="A26" i="84"/>
  <c r="A57" i="84" s="1"/>
  <c r="A118" i="84" s="1"/>
  <c r="A54" i="55"/>
  <c r="A111" i="55" s="1"/>
  <c r="A163" i="55" s="1"/>
  <c r="A104" i="83"/>
  <c r="A35" i="53"/>
  <c r="A88" i="53" s="1"/>
  <c r="A23" i="84"/>
  <c r="A54" i="84" s="1"/>
  <c r="A106" i="84" s="1"/>
  <c r="A117" i="83"/>
  <c r="A48" i="53"/>
  <c r="A169" i="53" s="1"/>
  <c r="A124" i="83"/>
  <c r="A55" i="53"/>
  <c r="A35" i="84"/>
  <c r="A63" i="84" s="1"/>
  <c r="A127" i="84" s="1"/>
  <c r="A121" i="83"/>
  <c r="A52" i="53"/>
  <c r="A32" i="84"/>
  <c r="L12" i="83"/>
  <c r="M12" i="83" s="1"/>
  <c r="A147" i="53"/>
  <c r="A215" i="53"/>
  <c r="A101" i="81"/>
  <c r="A18" i="53" s="1"/>
  <c r="A106" i="81"/>
  <c r="A23" i="53" s="1"/>
  <c r="A16" i="84"/>
  <c r="A47" i="84" s="1"/>
  <c r="A79" i="84" s="1"/>
  <c r="A57" i="55"/>
  <c r="A114" i="55" s="1"/>
  <c r="A166" i="55" s="1"/>
  <c r="A87" i="81"/>
  <c r="A112" i="81"/>
  <c r="A30" i="53" s="1"/>
  <c r="A103" i="83"/>
  <c r="A34" i="53" s="1"/>
  <c r="A155" i="53" s="1"/>
  <c r="A223" i="53" s="1"/>
  <c r="A14" i="84"/>
  <c r="A45" i="84"/>
  <c r="A71" i="84"/>
  <c r="A119" i="83"/>
  <c r="A50" i="53" s="1"/>
  <c r="A103" i="53" s="1"/>
  <c r="A30" i="84"/>
  <c r="A61" i="84"/>
  <c r="A122" i="84" s="1"/>
  <c r="A98" i="83"/>
  <c r="A126" i="83" s="1"/>
  <c r="A57" i="53" s="1"/>
  <c r="A178" i="53" s="1"/>
  <c r="A59" i="55"/>
  <c r="A116" i="55" s="1"/>
  <c r="A168" i="55" s="1"/>
  <c r="F149" i="84"/>
  <c r="F21" i="22"/>
  <c r="F20" i="22"/>
  <c r="C113" i="81"/>
  <c r="D30" i="53" s="1"/>
  <c r="D83" i="53" s="1"/>
  <c r="E151" i="53" s="1"/>
  <c r="E152" i="53"/>
  <c r="E220" i="53"/>
  <c r="F9" i="42"/>
  <c r="F10" i="42" s="1"/>
  <c r="A125" i="83"/>
  <c r="A56" i="53"/>
  <c r="A177" i="53" s="1"/>
  <c r="A242" i="53" s="1"/>
  <c r="A105" i="53"/>
  <c r="A173" i="53"/>
  <c r="A91" i="53"/>
  <c r="A159" i="53"/>
  <c r="A227" i="53" s="1"/>
  <c r="A237" i="53"/>
  <c r="A101" i="53"/>
  <c r="A243" i="53"/>
  <c r="A37" i="84"/>
  <c r="A65" i="84" s="1"/>
  <c r="A135" i="84" s="1"/>
  <c r="G9" i="42"/>
  <c r="E219" i="53"/>
  <c r="N12" i="83"/>
  <c r="A110" i="53"/>
  <c r="A108" i="53"/>
  <c r="A176" i="53"/>
  <c r="A241" i="53" s="1"/>
  <c r="A22" i="55"/>
  <c r="A79" i="55" s="1"/>
  <c r="A131" i="55" s="1"/>
  <c r="G17" i="42"/>
  <c r="A161" i="53"/>
  <c r="A229" i="53"/>
  <c r="A93" i="53"/>
  <c r="A114" i="83"/>
  <c r="A45" i="53"/>
  <c r="A166" i="53" s="1"/>
  <c r="A234" i="53" s="1"/>
  <c r="A25" i="84"/>
  <c r="A56" i="84"/>
  <c r="A114" i="84" s="1"/>
  <c r="A120" i="83"/>
  <c r="A51" i="53" s="1"/>
  <c r="A31" i="84"/>
  <c r="A122" i="83"/>
  <c r="A53" i="53" s="1"/>
  <c r="A33" i="84"/>
  <c r="A171" i="53"/>
  <c r="A239" i="53"/>
  <c r="A15" i="72"/>
  <c r="A39" i="72" s="1"/>
  <c r="A94" i="81"/>
  <c r="A11" i="53"/>
  <c r="A132" i="53" s="1"/>
  <c r="A200" i="53" s="1"/>
  <c r="A73" i="81"/>
  <c r="A98" i="81" s="1"/>
  <c r="A15" i="53" s="1"/>
  <c r="A68" i="53" s="1"/>
  <c r="A74" i="55"/>
  <c r="A126" i="55" s="1"/>
  <c r="A83" i="81"/>
  <c r="A108" i="81" s="1"/>
  <c r="A25" i="53" s="1"/>
  <c r="A27" i="55"/>
  <c r="A84" i="55" s="1"/>
  <c r="A136" i="55" s="1"/>
  <c r="A78" i="83"/>
  <c r="A39" i="55"/>
  <c r="A96" i="55" s="1"/>
  <c r="A148" i="55" s="1"/>
  <c r="A71" i="81"/>
  <c r="A17" i="72" s="1"/>
  <c r="A105" i="81"/>
  <c r="A22" i="53" s="1"/>
  <c r="A67" i="81"/>
  <c r="A13" i="72" s="1"/>
  <c r="A37" i="72" s="1"/>
  <c r="F124" i="53"/>
  <c r="E206" i="53"/>
  <c r="E215" i="53"/>
  <c r="A36" i="55"/>
  <c r="A93" i="55" s="1"/>
  <c r="A145" i="55" s="1"/>
  <c r="A47" i="55"/>
  <c r="A104" i="55" s="1"/>
  <c r="A156" i="55" s="1"/>
  <c r="A74" i="83"/>
  <c r="A102" i="83"/>
  <c r="A33" i="53"/>
  <c r="A44" i="84"/>
  <c r="F215" i="53"/>
  <c r="A98" i="53"/>
  <c r="H17" i="42"/>
  <c r="A92" i="81"/>
  <c r="A9" i="53"/>
  <c r="A103" i="81"/>
  <c r="A20" i="53" s="1"/>
  <c r="A172" i="53"/>
  <c r="A104" i="53"/>
  <c r="I17" i="42"/>
  <c r="I29" i="42" s="1"/>
  <c r="A86" i="53"/>
  <c r="A154" i="53"/>
  <c r="A222" i="53" s="1"/>
  <c r="A99" i="53" l="1"/>
  <c r="A167" i="53"/>
  <c r="A235" i="53" s="1"/>
  <c r="A20" i="72"/>
  <c r="A99" i="81"/>
  <c r="A16" i="53" s="1"/>
  <c r="A156" i="53"/>
  <c r="A224" i="53" s="1"/>
  <c r="A95" i="81"/>
  <c r="A12" i="53" s="1"/>
  <c r="A133" i="53" s="1"/>
  <c r="A201" i="53" s="1"/>
  <c r="A100" i="81"/>
  <c r="A21" i="72"/>
  <c r="A87" i="53"/>
  <c r="A157" i="53"/>
  <c r="A225" i="53" s="1"/>
  <c r="A89" i="53"/>
  <c r="F180" i="84"/>
  <c r="F181" i="84"/>
  <c r="G149" i="84"/>
  <c r="A19" i="72"/>
  <c r="A17" i="84"/>
  <c r="A48" i="84" s="1"/>
  <c r="A83" i="84" s="1"/>
  <c r="A106" i="83"/>
  <c r="A37" i="53" s="1"/>
  <c r="A164" i="53"/>
  <c r="A232" i="53" s="1"/>
  <c r="A96" i="53"/>
  <c r="A170" i="53"/>
  <c r="A238" i="53" s="1"/>
  <c r="F266" i="53"/>
  <c r="F274" i="53" s="1"/>
  <c r="F267" i="53"/>
  <c r="F268" i="53"/>
  <c r="F269" i="53"/>
  <c r="F206" i="53"/>
  <c r="F244" i="53"/>
  <c r="A109" i="53"/>
  <c r="G10" i="42"/>
  <c r="I21" i="42" s="1"/>
  <c r="I23" i="42" s="1"/>
  <c r="H9" i="42"/>
  <c r="H10" i="42" s="1"/>
  <c r="A29" i="72"/>
  <c r="A53" i="72" s="1"/>
  <c r="A112" i="72" s="1"/>
  <c r="A77" i="81"/>
  <c r="A102" i="81" s="1"/>
  <c r="A19" i="53" s="1"/>
  <c r="A21" i="55"/>
  <c r="A34" i="84"/>
  <c r="A62" i="84" s="1"/>
  <c r="A123" i="84" s="1"/>
  <c r="A123" i="83"/>
  <c r="A54" i="53" s="1"/>
  <c r="G124" i="53"/>
  <c r="A14" i="55"/>
  <c r="A71" i="55" s="1"/>
  <c r="A123" i="55" s="1"/>
  <c r="A25" i="72"/>
  <c r="A49" i="72" s="1"/>
  <c r="D178" i="53"/>
  <c r="D243" i="53"/>
  <c r="F220" i="53"/>
  <c r="A30" i="72"/>
  <c r="A54" i="72" s="1"/>
  <c r="A66" i="72" s="1"/>
  <c r="G152" i="53"/>
  <c r="A106" i="53"/>
  <c r="A174" i="53"/>
  <c r="A93" i="81"/>
  <c r="A10" i="53" s="1"/>
  <c r="A63" i="53" s="1"/>
  <c r="A14" i="72"/>
  <c r="A38" i="72" s="1"/>
  <c r="F152" i="53"/>
  <c r="A160" i="53"/>
  <c r="A228" i="53" s="1"/>
  <c r="A92" i="53"/>
  <c r="A82" i="83"/>
  <c r="A43" i="55"/>
  <c r="A100" i="55" s="1"/>
  <c r="A152" i="55" s="1"/>
  <c r="A130" i="53"/>
  <c r="A198" i="53" s="1"/>
  <c r="A62" i="53"/>
  <c r="J17" i="42"/>
  <c r="H30" i="42"/>
  <c r="H27" i="42"/>
  <c r="H28" i="42"/>
  <c r="H29" i="42"/>
  <c r="H37" i="42"/>
  <c r="H43" i="42" s="1"/>
  <c r="G30" i="42"/>
  <c r="G29" i="42"/>
  <c r="G37" i="42"/>
  <c r="G43" i="42" s="1"/>
  <c r="E30" i="21" s="1"/>
  <c r="A88" i="83"/>
  <c r="F30" i="42"/>
  <c r="F28" i="42"/>
  <c r="F29" i="42"/>
  <c r="F37" i="42"/>
  <c r="F43" i="42" s="1"/>
  <c r="D274" i="53"/>
  <c r="F21" i="42"/>
  <c r="F23" i="42" s="1"/>
  <c r="A82" i="81"/>
  <c r="A107" i="81" s="1"/>
  <c r="A24" i="53" s="1"/>
  <c r="A145" i="53" s="1"/>
  <c r="A213" i="53" s="1"/>
  <c r="B36" i="55"/>
  <c r="B93" i="55" s="1"/>
  <c r="B145" i="55" s="1"/>
  <c r="C47" i="83"/>
  <c r="E269" i="53"/>
  <c r="E266" i="53"/>
  <c r="E274" i="53" s="1"/>
  <c r="E267" i="53"/>
  <c r="I37" i="42"/>
  <c r="I43" i="42" s="1"/>
  <c r="G30" i="21" s="1"/>
  <c r="G220" i="53"/>
  <c r="H21" i="42"/>
  <c r="H23" i="42" s="1"/>
  <c r="F10" i="21" s="1"/>
  <c r="G21" i="42"/>
  <c r="G23" i="42" s="1"/>
  <c r="F11" i="22"/>
  <c r="F10" i="22"/>
  <c r="A15" i="55"/>
  <c r="A72" i="55" s="1"/>
  <c r="A124" i="55" s="1"/>
  <c r="A26" i="72"/>
  <c r="A50" i="72" s="1"/>
  <c r="A62" i="72" s="1"/>
  <c r="I30" i="42"/>
  <c r="I27" i="42"/>
  <c r="I28" i="42"/>
  <c r="E268" i="53"/>
  <c r="B75" i="83"/>
  <c r="D113" i="81"/>
  <c r="A97" i="81"/>
  <c r="A14" i="53" s="1"/>
  <c r="A135" i="53" s="1"/>
  <c r="A203" i="53" s="1"/>
  <c r="A24" i="84"/>
  <c r="A55" i="84" s="1"/>
  <c r="A110" i="84" s="1"/>
  <c r="A16" i="55"/>
  <c r="A73" i="55" s="1"/>
  <c r="A125" i="55" s="1"/>
  <c r="A27" i="72"/>
  <c r="A51" i="72" s="1"/>
  <c r="G28" i="42"/>
  <c r="B120" i="83"/>
  <c r="F34" i="83"/>
  <c r="H34" i="83" s="1"/>
  <c r="E185" i="84"/>
  <c r="C33" i="85" s="1"/>
  <c r="D220" i="53"/>
  <c r="D152" i="53"/>
  <c r="G27" i="42"/>
  <c r="G34" i="42" s="1"/>
  <c r="B119" i="83"/>
  <c r="F33" i="83"/>
  <c r="H33" i="83" s="1"/>
  <c r="E244" i="53"/>
  <c r="A83" i="83"/>
  <c r="C41" i="53"/>
  <c r="C94" i="53" s="1"/>
  <c r="C110" i="83"/>
  <c r="A13" i="55"/>
  <c r="A70" i="55" s="1"/>
  <c r="A122" i="55" s="1"/>
  <c r="A24" i="72"/>
  <c r="A48" i="72" s="1"/>
  <c r="A60" i="72" s="1"/>
  <c r="F39" i="83"/>
  <c r="H39" i="83" s="1"/>
  <c r="B125" i="83"/>
  <c r="C103" i="83"/>
  <c r="C34" i="53"/>
  <c r="C87" i="53" s="1"/>
  <c r="A12" i="55"/>
  <c r="A69" i="55" s="1"/>
  <c r="A121" i="55" s="1"/>
  <c r="A23" i="72"/>
  <c r="A47" i="72" s="1"/>
  <c r="B21" i="84"/>
  <c r="C82" i="83"/>
  <c r="B37" i="84"/>
  <c r="C98" i="83"/>
  <c r="A11" i="55"/>
  <c r="A68" i="55" s="1"/>
  <c r="A120" i="55" s="1"/>
  <c r="A22" i="72"/>
  <c r="A46" i="72" s="1"/>
  <c r="A91" i="72" s="1"/>
  <c r="D185" i="84"/>
  <c r="D35" i="83"/>
  <c r="D36" i="83"/>
  <c r="B107" i="83"/>
  <c r="F19" i="83"/>
  <c r="H19" i="83" s="1"/>
  <c r="B106" i="83"/>
  <c r="F18" i="83"/>
  <c r="H18" i="83" s="1"/>
  <c r="B54" i="83"/>
  <c r="C70" i="83"/>
  <c r="B53" i="83"/>
  <c r="B81" i="83"/>
  <c r="C126" i="83"/>
  <c r="D16" i="83"/>
  <c r="F50" i="48"/>
  <c r="F37" i="83"/>
  <c r="H37" i="83" s="1"/>
  <c r="B123" i="83"/>
  <c r="C109" i="83"/>
  <c r="C40" i="53"/>
  <c r="C93" i="53" s="1"/>
  <c r="D38" i="83"/>
  <c r="D14" i="83"/>
  <c r="D17" i="83"/>
  <c r="D20" i="83"/>
  <c r="C23" i="83"/>
  <c r="E36" i="48"/>
  <c r="A43" i="72"/>
  <c r="A80" i="72" s="1"/>
  <c r="A45" i="72"/>
  <c r="A87" i="72" s="1"/>
  <c r="A44" i="72"/>
  <c r="A83" i="72" s="1"/>
  <c r="A41" i="72"/>
  <c r="A72" i="72" s="1"/>
  <c r="A42" i="72"/>
  <c r="A77" i="72" s="1"/>
  <c r="A40" i="72"/>
  <c r="A69" i="72" s="1"/>
  <c r="C34" i="72"/>
  <c r="C33" i="21"/>
  <c r="G35" i="57"/>
  <c r="G46" i="57" s="1"/>
  <c r="A139" i="53"/>
  <c r="A207" i="53" s="1"/>
  <c r="A71" i="53"/>
  <c r="A96" i="81"/>
  <c r="A13" i="53" s="1"/>
  <c r="A64" i="53"/>
  <c r="A146" i="53"/>
  <c r="A214" i="53" s="1"/>
  <c r="A78" i="53"/>
  <c r="A76" i="53"/>
  <c r="A144" i="53"/>
  <c r="A212" i="53" s="1"/>
  <c r="A151" i="53"/>
  <c r="A219" i="53" s="1"/>
  <c r="A83" i="53"/>
  <c r="A150" i="53"/>
  <c r="A218" i="53" s="1"/>
  <c r="A82" i="53"/>
  <c r="A31" i="72"/>
  <c r="A55" i="72" s="1"/>
  <c r="A118" i="72" s="1"/>
  <c r="A69" i="53"/>
  <c r="A137" i="53"/>
  <c r="A205" i="53" s="1"/>
  <c r="A75" i="53"/>
  <c r="A143" i="53"/>
  <c r="A211" i="53" s="1"/>
  <c r="A81" i="53"/>
  <c r="A149" i="53"/>
  <c r="A217" i="53" s="1"/>
  <c r="A73" i="53"/>
  <c r="A141" i="53"/>
  <c r="A209" i="53" s="1"/>
  <c r="A74" i="53"/>
  <c r="A142" i="53"/>
  <c r="A210" i="53" s="1"/>
  <c r="A148" i="53"/>
  <c r="A216" i="53" s="1"/>
  <c r="A77" i="53"/>
  <c r="A67" i="53"/>
  <c r="A136" i="53"/>
  <c r="A204" i="53" s="1"/>
  <c r="E41" i="84"/>
  <c r="F40" i="84"/>
  <c r="B65" i="84"/>
  <c r="B52" i="84"/>
  <c r="D41" i="84"/>
  <c r="C41" i="84"/>
  <c r="B33" i="21"/>
  <c r="B33" i="85"/>
  <c r="B44" i="84"/>
  <c r="E166" i="72"/>
  <c r="F133" i="72"/>
  <c r="F167" i="72" s="1"/>
  <c r="D170" i="72"/>
  <c r="B29" i="21" s="1"/>
  <c r="A97" i="72"/>
  <c r="A103" i="72"/>
  <c r="A100" i="72"/>
  <c r="A61" i="72"/>
  <c r="A140" i="72" s="1"/>
  <c r="A150" i="72" s="1"/>
  <c r="A109" i="72"/>
  <c r="A64" i="72"/>
  <c r="A94" i="72"/>
  <c r="A59" i="72"/>
  <c r="A139" i="72" s="1"/>
  <c r="A149" i="72" s="1"/>
  <c r="A106" i="72"/>
  <c r="A63" i="72"/>
  <c r="A141" i="72" s="1"/>
  <c r="A151" i="72" s="1"/>
  <c r="E68" i="86"/>
  <c r="F68" i="86" s="1"/>
  <c r="G68" i="57"/>
  <c r="G70" i="57" s="1"/>
  <c r="D30" i="85"/>
  <c r="D30" i="21"/>
  <c r="F30" i="85"/>
  <c r="F30" i="21"/>
  <c r="C30" i="21"/>
  <c r="C30" i="85"/>
  <c r="B30" i="85"/>
  <c r="E30" i="85"/>
  <c r="E34" i="42"/>
  <c r="E45" i="42" s="1"/>
  <c r="E47" i="42" s="1"/>
  <c r="I34" i="42"/>
  <c r="G20" i="21" s="1"/>
  <c r="D34" i="42"/>
  <c r="B20" i="21" s="1"/>
  <c r="C10" i="21"/>
  <c r="F39" i="61"/>
  <c r="C10" i="85"/>
  <c r="C195" i="85" s="1"/>
  <c r="E39" i="61"/>
  <c r="B10" i="85"/>
  <c r="B195" i="85" s="1"/>
  <c r="B10" i="21"/>
  <c r="D10" i="21"/>
  <c r="G39" i="61"/>
  <c r="D10" i="85"/>
  <c r="D195" i="85" s="1"/>
  <c r="C20" i="85"/>
  <c r="C20" i="21"/>
  <c r="J39" i="61"/>
  <c r="G10" i="21"/>
  <c r="G10" i="85"/>
  <c r="G195" i="85" s="1"/>
  <c r="J52" i="61"/>
  <c r="G20" i="85"/>
  <c r="E10" i="85"/>
  <c r="E195" i="85" s="1"/>
  <c r="E10" i="21"/>
  <c r="H39" i="61"/>
  <c r="A78" i="55"/>
  <c r="A130" i="55" s="1"/>
  <c r="D16" i="81"/>
  <c r="D20" i="81"/>
  <c r="D17" i="81"/>
  <c r="B95" i="81" s="1"/>
  <c r="D21" i="81"/>
  <c r="B99" i="81" s="1"/>
  <c r="D14" i="81"/>
  <c r="B92" i="81" s="1"/>
  <c r="D18" i="81"/>
  <c r="C23" i="81"/>
  <c r="C32" i="81"/>
  <c r="D15" i="81"/>
  <c r="B93" i="81" s="1"/>
  <c r="D19" i="81"/>
  <c r="B97" i="81" s="1"/>
  <c r="D22" i="81"/>
  <c r="F23" i="22"/>
  <c r="E203" i="55"/>
  <c r="C89" i="55"/>
  <c r="C141" i="55" s="1"/>
  <c r="H89" i="55"/>
  <c r="H141" i="55" s="1"/>
  <c r="D89" i="55"/>
  <c r="D141" i="55" s="1"/>
  <c r="F109" i="57"/>
  <c r="E72" i="86" s="1"/>
  <c r="F72" i="86" s="1"/>
  <c r="E24" i="22"/>
  <c r="B35" i="21" s="1"/>
  <c r="G11" i="57"/>
  <c r="F89" i="55"/>
  <c r="F141" i="55" s="1"/>
  <c r="G89" i="55"/>
  <c r="G141" i="55" s="1"/>
  <c r="B89" i="55"/>
  <c r="B141" i="55" s="1"/>
  <c r="E89" i="55"/>
  <c r="E141" i="55" s="1"/>
  <c r="Q16" i="61"/>
  <c r="R9" i="61"/>
  <c r="R16" i="61" s="1"/>
  <c r="E33" i="72"/>
  <c r="O16" i="61"/>
  <c r="E167" i="72"/>
  <c r="E170" i="72" s="1"/>
  <c r="O11" i="61"/>
  <c r="P11" i="61" s="1"/>
  <c r="Q11" i="61" s="1"/>
  <c r="R11" i="61" s="1"/>
  <c r="D208" i="55"/>
  <c r="B28" i="85" s="1"/>
  <c r="F174" i="55"/>
  <c r="F204" i="55" s="1"/>
  <c r="V11" i="61"/>
  <c r="V16" i="61" s="1"/>
  <c r="H82" i="57"/>
  <c r="F143" i="57"/>
  <c r="F13" i="22"/>
  <c r="F9" i="22"/>
  <c r="F8" i="22"/>
  <c r="H272" i="85"/>
  <c r="I258" i="85"/>
  <c r="H222" i="85"/>
  <c r="I173" i="85"/>
  <c r="H258" i="85"/>
  <c r="G272" i="85"/>
  <c r="G222" i="85"/>
  <c r="H173" i="85"/>
  <c r="F18" i="22"/>
  <c r="F12" i="22"/>
  <c r="F22" i="22"/>
  <c r="I97" i="29"/>
  <c r="F16" i="22"/>
  <c r="F15" i="22"/>
  <c r="F17" i="22"/>
  <c r="F19" i="22"/>
  <c r="G4" i="22"/>
  <c r="F14" i="22"/>
  <c r="E52" i="48"/>
  <c r="B31" i="85" s="1"/>
  <c r="F52" i="48"/>
  <c r="G52" i="48"/>
  <c r="D166" i="84"/>
  <c r="F171" i="57"/>
  <c r="D10" i="62"/>
  <c r="E74" i="86"/>
  <c r="F74" i="86" s="1"/>
  <c r="D30" i="89"/>
  <c r="D27" i="89"/>
  <c r="C22" i="89"/>
  <c r="D22" i="89" s="1"/>
  <c r="C7" i="89"/>
  <c r="B7" i="89"/>
  <c r="C33" i="48"/>
  <c r="E33" i="48" s="1"/>
  <c r="J14" i="48"/>
  <c r="J9" i="48"/>
  <c r="C28" i="48"/>
  <c r="J13" i="48"/>
  <c r="C32" i="48"/>
  <c r="E32" i="48" s="1"/>
  <c r="G29" i="48"/>
  <c r="F29" i="48"/>
  <c r="E29" i="48"/>
  <c r="G36" i="48"/>
  <c r="H22" i="48"/>
  <c r="H50" i="48" s="1"/>
  <c r="J16" i="48"/>
  <c r="C35" i="48"/>
  <c r="C31" i="48"/>
  <c r="E31" i="48" s="1"/>
  <c r="J12" i="48"/>
  <c r="C27" i="48"/>
  <c r="F36" i="48"/>
  <c r="J10" i="48"/>
  <c r="F34" i="48"/>
  <c r="E34" i="48"/>
  <c r="G34" i="48"/>
  <c r="J15" i="48"/>
  <c r="C42" i="48"/>
  <c r="C30" i="48"/>
  <c r="J11" i="48"/>
  <c r="H52" i="61" l="1"/>
  <c r="E20" i="21"/>
  <c r="G45" i="42"/>
  <c r="G47" i="42" s="1"/>
  <c r="E20" i="85"/>
  <c r="J30" i="42"/>
  <c r="J29" i="42"/>
  <c r="J27" i="42"/>
  <c r="J34" i="42" s="1"/>
  <c r="J37" i="42"/>
  <c r="J43" i="42" s="1"/>
  <c r="J28" i="42"/>
  <c r="I45" i="42"/>
  <c r="I47" i="42" s="1"/>
  <c r="G30" i="85"/>
  <c r="A65" i="53"/>
  <c r="B124" i="83"/>
  <c r="F38" i="83"/>
  <c r="H38" i="83" s="1"/>
  <c r="B78" i="83"/>
  <c r="B50" i="83"/>
  <c r="A175" i="53"/>
  <c r="A240" i="53" s="1"/>
  <c r="A107" i="53"/>
  <c r="B14" i="84"/>
  <c r="C75" i="83"/>
  <c r="J21" i="42"/>
  <c r="J23" i="42" s="1"/>
  <c r="B20" i="85"/>
  <c r="A65" i="72"/>
  <c r="A142" i="72" s="1"/>
  <c r="A152" i="72" s="1"/>
  <c r="A115" i="72"/>
  <c r="D161" i="53"/>
  <c r="D229" i="53"/>
  <c r="C106" i="83"/>
  <c r="C37" i="53"/>
  <c r="C90" i="53" s="1"/>
  <c r="B63" i="83"/>
  <c r="B91" i="83"/>
  <c r="B32" i="85"/>
  <c r="B32" i="21"/>
  <c r="H34" i="42"/>
  <c r="C107" i="83"/>
  <c r="C38" i="53"/>
  <c r="C91" i="53" s="1"/>
  <c r="I39" i="61"/>
  <c r="D109" i="83"/>
  <c r="D40" i="53"/>
  <c r="D93" i="53" s="1"/>
  <c r="B51" i="83"/>
  <c r="B79" i="83"/>
  <c r="C50" i="53"/>
  <c r="C103" i="53" s="1"/>
  <c r="C119" i="83"/>
  <c r="D32" i="85"/>
  <c r="D32" i="21"/>
  <c r="A72" i="53"/>
  <c r="A140" i="53"/>
  <c r="A208" i="53" s="1"/>
  <c r="B95" i="83"/>
  <c r="B67" i="83"/>
  <c r="B122" i="83"/>
  <c r="F36" i="83"/>
  <c r="H36" i="83" s="1"/>
  <c r="D103" i="83"/>
  <c r="D34" i="53"/>
  <c r="D87" i="53" s="1"/>
  <c r="E113" i="81"/>
  <c r="E30" i="53"/>
  <c r="E83" i="53" s="1"/>
  <c r="F34" i="42"/>
  <c r="C56" i="53"/>
  <c r="C109" i="53" s="1"/>
  <c r="C125" i="83"/>
  <c r="F10" i="85"/>
  <c r="F195" i="85" s="1"/>
  <c r="F16" i="83"/>
  <c r="H16" i="83" s="1"/>
  <c r="B104" i="83"/>
  <c r="B97" i="83"/>
  <c r="B69" i="83"/>
  <c r="A116" i="83"/>
  <c r="A47" i="53" s="1"/>
  <c r="A27" i="84"/>
  <c r="A58" i="84" s="1"/>
  <c r="A119" i="84" s="1"/>
  <c r="A90" i="53"/>
  <c r="A158" i="53"/>
  <c r="A226" i="53" s="1"/>
  <c r="D126" i="83"/>
  <c r="D57" i="53"/>
  <c r="D110" i="53" s="1"/>
  <c r="B92" i="83"/>
  <c r="B64" i="83"/>
  <c r="C64" i="83" s="1"/>
  <c r="D64" i="83" s="1"/>
  <c r="E64" i="83" s="1"/>
  <c r="F64" i="83" s="1"/>
  <c r="G64" i="83" s="1"/>
  <c r="H64" i="83" s="1"/>
  <c r="C32" i="21"/>
  <c r="C32" i="85"/>
  <c r="A110" i="83"/>
  <c r="A41" i="53" s="1"/>
  <c r="A21" i="84"/>
  <c r="A52" i="84" s="1"/>
  <c r="A98" i="84" s="1"/>
  <c r="C123" i="83"/>
  <c r="C54" i="53"/>
  <c r="C107" i="53" s="1"/>
  <c r="D24" i="83"/>
  <c r="D27" i="83"/>
  <c r="D30" i="83"/>
  <c r="D25" i="83"/>
  <c r="D28" i="83"/>
  <c r="D31" i="83"/>
  <c r="D29" i="83"/>
  <c r="D26" i="83"/>
  <c r="B20" i="84"/>
  <c r="B51" i="84" s="1"/>
  <c r="C81" i="83"/>
  <c r="C120" i="83"/>
  <c r="C51" i="53"/>
  <c r="C104" i="53" s="1"/>
  <c r="D172" i="53" s="1"/>
  <c r="D155" i="53"/>
  <c r="D223" i="53"/>
  <c r="G82" i="57"/>
  <c r="A58" i="72"/>
  <c r="A138" i="72" s="1"/>
  <c r="A148" i="72" s="1"/>
  <c r="A131" i="53"/>
  <c r="A199" i="53" s="1"/>
  <c r="B108" i="83"/>
  <c r="F20" i="83"/>
  <c r="H20" i="83" s="1"/>
  <c r="C53" i="83"/>
  <c r="B42" i="55"/>
  <c r="B99" i="55" s="1"/>
  <c r="B151" i="55" s="1"/>
  <c r="D98" i="83"/>
  <c r="C37" i="84"/>
  <c r="C65" i="84" s="1"/>
  <c r="D110" i="83"/>
  <c r="D41" i="53"/>
  <c r="D94" i="53" s="1"/>
  <c r="D47" i="83"/>
  <c r="C36" i="55"/>
  <c r="C93" i="55" s="1"/>
  <c r="C145" i="55" s="1"/>
  <c r="H149" i="84"/>
  <c r="G180" i="84"/>
  <c r="G181" i="84"/>
  <c r="G8" i="22"/>
  <c r="G10" i="22"/>
  <c r="B105" i="83"/>
  <c r="F17" i="83"/>
  <c r="H17" i="83" s="1"/>
  <c r="D70" i="83"/>
  <c r="C59" i="55"/>
  <c r="C116" i="55" s="1"/>
  <c r="C168" i="55" s="1"/>
  <c r="D230" i="53"/>
  <c r="D162" i="53"/>
  <c r="B121" i="83"/>
  <c r="F35" i="83"/>
  <c r="H35" i="83" s="1"/>
  <c r="B102" i="83"/>
  <c r="F14" i="83"/>
  <c r="H14" i="83" s="1"/>
  <c r="M14" i="83"/>
  <c r="G74" i="83" s="1"/>
  <c r="N14" i="83"/>
  <c r="H74" i="83" s="1"/>
  <c r="L14" i="83"/>
  <c r="F74" i="83" s="1"/>
  <c r="K14" i="83"/>
  <c r="E74" i="83" s="1"/>
  <c r="J14" i="83"/>
  <c r="D74" i="83" s="1"/>
  <c r="C54" i="83"/>
  <c r="B43" i="55"/>
  <c r="B100" i="55" s="1"/>
  <c r="B152" i="55" s="1"/>
  <c r="D82" i="83"/>
  <c r="C21" i="84"/>
  <c r="A111" i="83"/>
  <c r="A42" i="53" s="1"/>
  <c r="A22" i="84"/>
  <c r="A53" i="84" s="1"/>
  <c r="A102" i="84" s="1"/>
  <c r="G266" i="53"/>
  <c r="G267" i="53"/>
  <c r="G268" i="53"/>
  <c r="G269" i="53"/>
  <c r="G206" i="53"/>
  <c r="G215" i="53"/>
  <c r="H124" i="53"/>
  <c r="G244" i="53"/>
  <c r="F185" i="84"/>
  <c r="F166" i="72"/>
  <c r="G133" i="72"/>
  <c r="E67" i="86"/>
  <c r="F67" i="86" s="1"/>
  <c r="H20" i="85"/>
  <c r="E66" i="86"/>
  <c r="F66" i="86" s="1"/>
  <c r="A134" i="53"/>
  <c r="A202" i="53" s="1"/>
  <c r="A66" i="53"/>
  <c r="B67" i="84"/>
  <c r="D168" i="84" s="1"/>
  <c r="D163" i="84"/>
  <c r="F41" i="84"/>
  <c r="G40" i="84"/>
  <c r="C52" i="84"/>
  <c r="B29" i="85"/>
  <c r="F170" i="72"/>
  <c r="D29" i="85" s="1"/>
  <c r="F52" i="61"/>
  <c r="E52" i="61"/>
  <c r="D45" i="42"/>
  <c r="D47" i="42" s="1"/>
  <c r="F139" i="29"/>
  <c r="F169" i="29"/>
  <c r="F124" i="29"/>
  <c r="F34" i="29"/>
  <c r="F154" i="29"/>
  <c r="H154" i="29"/>
  <c r="H34" i="29"/>
  <c r="H139" i="29"/>
  <c r="H124" i="29"/>
  <c r="H169" i="29"/>
  <c r="C154" i="29"/>
  <c r="C139" i="29"/>
  <c r="C34" i="29"/>
  <c r="C169" i="29"/>
  <c r="C124" i="29"/>
  <c r="G169" i="29"/>
  <c r="G124" i="29"/>
  <c r="G34" i="29"/>
  <c r="G154" i="29"/>
  <c r="G139" i="29"/>
  <c r="E154" i="29"/>
  <c r="E34" i="29"/>
  <c r="E169" i="29"/>
  <c r="E139" i="29"/>
  <c r="E124" i="29"/>
  <c r="D124" i="29"/>
  <c r="D169" i="29"/>
  <c r="D34" i="29"/>
  <c r="D139" i="29"/>
  <c r="D154" i="29"/>
  <c r="F19" i="81"/>
  <c r="H19" i="81" s="1"/>
  <c r="B72" i="81" s="1"/>
  <c r="F15" i="81"/>
  <c r="H15" i="81" s="1"/>
  <c r="B68" i="81" s="1"/>
  <c r="F14" i="81"/>
  <c r="H14" i="81" s="1"/>
  <c r="J14" i="81"/>
  <c r="N14" i="81"/>
  <c r="L14" i="81"/>
  <c r="M14" i="81"/>
  <c r="K14" i="81"/>
  <c r="B94" i="81"/>
  <c r="F16" i="81"/>
  <c r="H16" i="81" s="1"/>
  <c r="F18" i="81"/>
  <c r="H18" i="81" s="1"/>
  <c r="B96" i="81"/>
  <c r="D34" i="81"/>
  <c r="D36" i="81"/>
  <c r="D35" i="81"/>
  <c r="F35" i="81" s="1"/>
  <c r="H35" i="81" s="1"/>
  <c r="D33" i="81"/>
  <c r="F21" i="81"/>
  <c r="H21" i="81" s="1"/>
  <c r="B49" i="81" s="1"/>
  <c r="B98" i="81"/>
  <c r="F20" i="81"/>
  <c r="H20" i="81" s="1"/>
  <c r="F22" i="81"/>
  <c r="H22" i="81" s="1"/>
  <c r="B100" i="81"/>
  <c r="C100" i="81" s="1"/>
  <c r="D100" i="81" s="1"/>
  <c r="E100" i="81" s="1"/>
  <c r="F100" i="81" s="1"/>
  <c r="G100" i="81" s="1"/>
  <c r="H100" i="81" s="1"/>
  <c r="D25" i="81"/>
  <c r="B102" i="81" s="1"/>
  <c r="D29" i="81"/>
  <c r="D26" i="81"/>
  <c r="D30" i="81"/>
  <c r="D27" i="81"/>
  <c r="D31" i="81"/>
  <c r="D28" i="81"/>
  <c r="D24" i="81"/>
  <c r="B101" i="81" s="1"/>
  <c r="F17" i="81"/>
  <c r="H17" i="81" s="1"/>
  <c r="B70" i="81" s="1"/>
  <c r="B35" i="85"/>
  <c r="E208" i="55"/>
  <c r="C28" i="85" s="1"/>
  <c r="F64" i="86"/>
  <c r="F65" i="86"/>
  <c r="D5" i="62"/>
  <c r="F63" i="86"/>
  <c r="D8" i="62"/>
  <c r="C19" i="68" s="1"/>
  <c r="E73" i="86"/>
  <c r="F73" i="86" s="1"/>
  <c r="F75" i="86" s="1"/>
  <c r="C29" i="21"/>
  <c r="C29" i="85"/>
  <c r="F33" i="72"/>
  <c r="E34" i="72"/>
  <c r="H133" i="72"/>
  <c r="G166" i="72"/>
  <c r="G167" i="72"/>
  <c r="B28" i="21"/>
  <c r="F203" i="55"/>
  <c r="G174" i="55"/>
  <c r="G204" i="55" s="1"/>
  <c r="F24" i="22"/>
  <c r="C35" i="85" s="1"/>
  <c r="G15" i="22"/>
  <c r="G16" i="22"/>
  <c r="G20" i="22"/>
  <c r="G23" i="22"/>
  <c r="G9" i="22"/>
  <c r="G22" i="22"/>
  <c r="G11" i="22"/>
  <c r="G18" i="22"/>
  <c r="G12" i="22"/>
  <c r="G17" i="22"/>
  <c r="H4" i="22"/>
  <c r="G21" i="22"/>
  <c r="G19" i="22"/>
  <c r="G13" i="22"/>
  <c r="G14" i="22"/>
  <c r="G32" i="48"/>
  <c r="B31" i="21"/>
  <c r="F32" i="48"/>
  <c r="D7" i="62"/>
  <c r="F87" i="22"/>
  <c r="F10" i="62"/>
  <c r="G87" i="22"/>
  <c r="E87" i="22"/>
  <c r="C87" i="22"/>
  <c r="D87" i="22"/>
  <c r="C21" i="68"/>
  <c r="F172" i="57"/>
  <c r="D9" i="62" s="1"/>
  <c r="B10" i="89"/>
  <c r="B15" i="89"/>
  <c r="B14" i="89"/>
  <c r="C10" i="89"/>
  <c r="C14" i="89"/>
  <c r="C15" i="89"/>
  <c r="D7" i="89"/>
  <c r="G31" i="48"/>
  <c r="D31" i="21"/>
  <c r="D31" i="85"/>
  <c r="H35" i="48"/>
  <c r="H52" i="48"/>
  <c r="I22" i="48"/>
  <c r="H36" i="48"/>
  <c r="H29" i="48"/>
  <c r="F35" i="48"/>
  <c r="E27" i="48"/>
  <c r="G27" i="48"/>
  <c r="F27" i="48"/>
  <c r="H27" i="48"/>
  <c r="H28" i="48"/>
  <c r="E28" i="48"/>
  <c r="G28" i="48"/>
  <c r="F28" i="48"/>
  <c r="G35" i="48"/>
  <c r="H32" i="48"/>
  <c r="E35" i="48"/>
  <c r="H34" i="48"/>
  <c r="C31" i="85"/>
  <c r="C31" i="21"/>
  <c r="H31" i="48"/>
  <c r="F31" i="48"/>
  <c r="F33" i="48"/>
  <c r="H33" i="48"/>
  <c r="G33" i="48"/>
  <c r="C41" i="48"/>
  <c r="E42" i="48"/>
  <c r="H42" i="48"/>
  <c r="G42" i="48"/>
  <c r="F42" i="48"/>
  <c r="I42" i="48"/>
  <c r="E30" i="48"/>
  <c r="F30" i="48"/>
  <c r="G30" i="48"/>
  <c r="H30" i="48"/>
  <c r="C108" i="83" l="1"/>
  <c r="C39" i="53"/>
  <c r="C92" i="53" s="1"/>
  <c r="B118" i="83"/>
  <c r="F31" i="83"/>
  <c r="H31" i="83" s="1"/>
  <c r="D107" i="83"/>
  <c r="D38" i="53"/>
  <c r="D91" i="53" s="1"/>
  <c r="F20" i="21"/>
  <c r="H45" i="42"/>
  <c r="H47" i="42" s="1"/>
  <c r="I52" i="61"/>
  <c r="F20" i="85"/>
  <c r="H180" i="84"/>
  <c r="H181" i="84"/>
  <c r="I149" i="84"/>
  <c r="A163" i="53"/>
  <c r="A231" i="53" s="1"/>
  <c r="A95" i="53"/>
  <c r="B93" i="83"/>
  <c r="B65" i="83"/>
  <c r="C65" i="83" s="1"/>
  <c r="D65" i="83" s="1"/>
  <c r="E65" i="83" s="1"/>
  <c r="F65" i="83" s="1"/>
  <c r="G65" i="83" s="1"/>
  <c r="H65" i="83" s="1"/>
  <c r="F25" i="83"/>
  <c r="H25" i="83" s="1"/>
  <c r="B112" i="83"/>
  <c r="E243" i="53"/>
  <c r="E178" i="53"/>
  <c r="D177" i="53"/>
  <c r="D242" i="53"/>
  <c r="D75" i="83"/>
  <c r="C14" i="84"/>
  <c r="C45" i="84" s="1"/>
  <c r="I33" i="48"/>
  <c r="I50" i="48"/>
  <c r="C121" i="83"/>
  <c r="C52" i="53"/>
  <c r="C105" i="53" s="1"/>
  <c r="D173" i="53" s="1"/>
  <c r="F30" i="83"/>
  <c r="H30" i="83" s="1"/>
  <c r="B117" i="83"/>
  <c r="E57" i="53"/>
  <c r="E110" i="53" s="1"/>
  <c r="E126" i="83"/>
  <c r="D20" i="21"/>
  <c r="G52" i="61"/>
  <c r="D20" i="85"/>
  <c r="F45" i="42"/>
  <c r="F47" i="42" s="1"/>
  <c r="B45" i="84"/>
  <c r="H30" i="21"/>
  <c r="H30" i="85"/>
  <c r="B52" i="83"/>
  <c r="B80" i="83"/>
  <c r="F29" i="83"/>
  <c r="H29" i="83" s="1"/>
  <c r="B116" i="83"/>
  <c r="B48" i="83"/>
  <c r="B76" i="83"/>
  <c r="D125" i="83"/>
  <c r="D56" i="53"/>
  <c r="D109" i="53" s="1"/>
  <c r="E47" i="83"/>
  <c r="D36" i="55"/>
  <c r="D93" i="55" s="1"/>
  <c r="D145" i="55" s="1"/>
  <c r="B74" i="83"/>
  <c r="B46" i="83"/>
  <c r="F113" i="81"/>
  <c r="F30" i="53"/>
  <c r="F83" i="53" s="1"/>
  <c r="B34" i="84"/>
  <c r="B62" i="84" s="1"/>
  <c r="C95" i="83"/>
  <c r="G274" i="53"/>
  <c r="G185" i="84"/>
  <c r="B115" i="83"/>
  <c r="F28" i="83"/>
  <c r="H28" i="83" s="1"/>
  <c r="H10" i="21"/>
  <c r="K39" i="61"/>
  <c r="H10" i="85"/>
  <c r="H195" i="85" s="1"/>
  <c r="D33" i="21"/>
  <c r="D33" i="85"/>
  <c r="F27" i="83"/>
  <c r="H27" i="83" s="1"/>
  <c r="B114" i="83"/>
  <c r="C91" i="83"/>
  <c r="B30" i="84"/>
  <c r="B61" i="84" s="1"/>
  <c r="E162" i="53"/>
  <c r="E230" i="53"/>
  <c r="C63" i="83"/>
  <c r="B52" i="55"/>
  <c r="B109" i="55" s="1"/>
  <c r="B161" i="55" s="1"/>
  <c r="D54" i="83"/>
  <c r="C43" i="55"/>
  <c r="C100" i="55" s="1"/>
  <c r="C152" i="55" s="1"/>
  <c r="D175" i="53"/>
  <c r="D240" i="53"/>
  <c r="E223" i="53"/>
  <c r="E155" i="53"/>
  <c r="C50" i="83"/>
  <c r="B39" i="55"/>
  <c r="B96" i="55" s="1"/>
  <c r="B148" i="55" s="1"/>
  <c r="E70" i="83"/>
  <c r="D59" i="55"/>
  <c r="D116" i="55" s="1"/>
  <c r="D168" i="55" s="1"/>
  <c r="D120" i="83"/>
  <c r="D51" i="53"/>
  <c r="D104" i="53" s="1"/>
  <c r="E172" i="53" s="1"/>
  <c r="D123" i="83"/>
  <c r="D54" i="53"/>
  <c r="D107" i="53" s="1"/>
  <c r="A168" i="53"/>
  <c r="A236" i="53" s="1"/>
  <c r="A100" i="53"/>
  <c r="E103" i="83"/>
  <c r="E34" i="53"/>
  <c r="E87" i="53" s="1"/>
  <c r="C51" i="83"/>
  <c r="B40" i="55"/>
  <c r="B97" i="55" s="1"/>
  <c r="B149" i="55" s="1"/>
  <c r="D106" i="83"/>
  <c r="D37" i="53"/>
  <c r="D90" i="53" s="1"/>
  <c r="B17" i="84"/>
  <c r="B48" i="84" s="1"/>
  <c r="C78" i="83"/>
  <c r="D119" i="83"/>
  <c r="D50" i="53"/>
  <c r="D103" i="53" s="1"/>
  <c r="H266" i="53"/>
  <c r="H206" i="53"/>
  <c r="H244" i="53"/>
  <c r="H220" i="53"/>
  <c r="H267" i="53"/>
  <c r="H268" i="53"/>
  <c r="H269" i="53"/>
  <c r="I124" i="53"/>
  <c r="H215" i="53"/>
  <c r="H152" i="53"/>
  <c r="E110" i="83"/>
  <c r="E41" i="53"/>
  <c r="E94" i="53" s="1"/>
  <c r="D226" i="53"/>
  <c r="D158" i="53"/>
  <c r="I30" i="48"/>
  <c r="H8" i="22"/>
  <c r="H10" i="22"/>
  <c r="F70" i="86"/>
  <c r="B49" i="83"/>
  <c r="B77" i="83"/>
  <c r="D37" i="84"/>
  <c r="D65" i="84" s="1"/>
  <c r="E98" i="83"/>
  <c r="D81" i="83"/>
  <c r="C20" i="84"/>
  <c r="C51" i="84" s="1"/>
  <c r="B58" i="55"/>
  <c r="B115" i="55" s="1"/>
  <c r="B167" i="55" s="1"/>
  <c r="C69" i="83"/>
  <c r="B94" i="83"/>
  <c r="B66" i="83"/>
  <c r="C66" i="83" s="1"/>
  <c r="D66" i="83" s="1"/>
  <c r="E66" i="83" s="1"/>
  <c r="F66" i="83" s="1"/>
  <c r="G66" i="83" s="1"/>
  <c r="H66" i="83" s="1"/>
  <c r="E161" i="53"/>
  <c r="E229" i="53"/>
  <c r="B68" i="83"/>
  <c r="B96" i="83"/>
  <c r="D159" i="53"/>
  <c r="D227" i="53"/>
  <c r="C102" i="83"/>
  <c r="C33" i="53"/>
  <c r="C86" i="53" s="1"/>
  <c r="E82" i="83"/>
  <c r="D21" i="84"/>
  <c r="D52" i="84" s="1"/>
  <c r="H20" i="21"/>
  <c r="J45" i="42"/>
  <c r="J47" i="42" s="1"/>
  <c r="K52" i="61"/>
  <c r="F24" i="83"/>
  <c r="H24" i="83" s="1"/>
  <c r="B111" i="83"/>
  <c r="C105" i="83"/>
  <c r="C36" i="53"/>
  <c r="C89" i="53" s="1"/>
  <c r="A94" i="53"/>
  <c r="A162" i="53"/>
  <c r="A230" i="53" s="1"/>
  <c r="B36" i="84"/>
  <c r="B64" i="84" s="1"/>
  <c r="C97" i="83"/>
  <c r="C53" i="53"/>
  <c r="C106" i="53" s="1"/>
  <c r="D174" i="53" s="1"/>
  <c r="C122" i="83"/>
  <c r="E109" i="83"/>
  <c r="E40" i="53"/>
  <c r="E93" i="53" s="1"/>
  <c r="C124" i="83"/>
  <c r="C55" i="53"/>
  <c r="C108" i="53" s="1"/>
  <c r="B31" i="84"/>
  <c r="C92" i="83"/>
  <c r="F151" i="53"/>
  <c r="F219" i="53"/>
  <c r="D171" i="53"/>
  <c r="D239" i="53"/>
  <c r="C79" i="83"/>
  <c r="B18" i="84"/>
  <c r="B49" i="84" s="1"/>
  <c r="D53" i="83"/>
  <c r="C42" i="55"/>
  <c r="C99" i="55" s="1"/>
  <c r="C151" i="55" s="1"/>
  <c r="B113" i="83"/>
  <c r="F26" i="83"/>
  <c r="H26" i="83" s="1"/>
  <c r="C35" i="53"/>
  <c r="C88" i="53" s="1"/>
  <c r="C104" i="83"/>
  <c r="B56" i="55"/>
  <c r="B113" i="55" s="1"/>
  <c r="B165" i="55" s="1"/>
  <c r="C67" i="83"/>
  <c r="B36" i="85"/>
  <c r="D29" i="21"/>
  <c r="D169" i="84"/>
  <c r="D154" i="84"/>
  <c r="G41" i="84"/>
  <c r="H40" i="84"/>
  <c r="H41" i="84" s="1"/>
  <c r="C16" i="68"/>
  <c r="C28" i="21"/>
  <c r="B105" i="81"/>
  <c r="F28" i="81"/>
  <c r="H28" i="81" s="1"/>
  <c r="B74" i="81"/>
  <c r="B18" i="55" s="1"/>
  <c r="B43" i="81"/>
  <c r="B23" i="72" s="1"/>
  <c r="C12" i="53"/>
  <c r="C65" i="53" s="1"/>
  <c r="C95" i="81"/>
  <c r="F31" i="81"/>
  <c r="H31" i="81" s="1"/>
  <c r="B108" i="81"/>
  <c r="B106" i="81"/>
  <c r="F29" i="81"/>
  <c r="H29" i="81" s="1"/>
  <c r="B48" i="81"/>
  <c r="B17" i="55" s="1"/>
  <c r="B73" i="81"/>
  <c r="F33" i="81"/>
  <c r="H33" i="81" s="1"/>
  <c r="B109" i="81"/>
  <c r="C109" i="81" s="1"/>
  <c r="D109" i="81" s="1"/>
  <c r="E109" i="81" s="1"/>
  <c r="F109" i="81" s="1"/>
  <c r="G109" i="81" s="1"/>
  <c r="H109" i="81" s="1"/>
  <c r="C13" i="53"/>
  <c r="C66" i="53" s="1"/>
  <c r="C96" i="81"/>
  <c r="C10" i="53"/>
  <c r="C63" i="53" s="1"/>
  <c r="C93" i="81"/>
  <c r="B50" i="81"/>
  <c r="B75" i="81"/>
  <c r="B110" i="81"/>
  <c r="B111" i="81"/>
  <c r="F34" i="81"/>
  <c r="H34" i="81" s="1"/>
  <c r="C11" i="53"/>
  <c r="C64" i="53" s="1"/>
  <c r="C94" i="81"/>
  <c r="B45" i="81"/>
  <c r="B25" i="72" s="1"/>
  <c r="F27" i="81"/>
  <c r="H27" i="81" s="1"/>
  <c r="B104" i="81"/>
  <c r="F25" i="81"/>
  <c r="H25" i="81" s="1"/>
  <c r="C15" i="53"/>
  <c r="C68" i="53" s="1"/>
  <c r="C98" i="81"/>
  <c r="B61" i="81"/>
  <c r="B86" i="81"/>
  <c r="C86" i="81" s="1"/>
  <c r="D86" i="81" s="1"/>
  <c r="E86" i="81" s="1"/>
  <c r="F86" i="81" s="1"/>
  <c r="G86" i="81" s="1"/>
  <c r="H86" i="81" s="1"/>
  <c r="B46" i="81"/>
  <c r="B26" i="72" s="1"/>
  <c r="B71" i="81"/>
  <c r="B42" i="81"/>
  <c r="B22" i="72" s="1"/>
  <c r="B67" i="81"/>
  <c r="B47" i="81"/>
  <c r="B27" i="72" s="1"/>
  <c r="F26" i="81"/>
  <c r="H26" i="81" s="1"/>
  <c r="B103" i="81"/>
  <c r="F24" i="81"/>
  <c r="H24" i="81" s="1"/>
  <c r="F30" i="81"/>
  <c r="H30" i="81" s="1"/>
  <c r="B107" i="81"/>
  <c r="C99" i="81"/>
  <c r="C16" i="53"/>
  <c r="C69" i="53" s="1"/>
  <c r="B112" i="81"/>
  <c r="F36" i="81"/>
  <c r="H36" i="81" s="1"/>
  <c r="B44" i="81"/>
  <c r="B24" i="72" s="1"/>
  <c r="B69" i="81"/>
  <c r="C9" i="53"/>
  <c r="C62" i="53" s="1"/>
  <c r="C92" i="81"/>
  <c r="C14" i="53"/>
  <c r="C67" i="53" s="1"/>
  <c r="C97" i="81"/>
  <c r="B36" i="21"/>
  <c r="I46" i="57"/>
  <c r="D6" i="62"/>
  <c r="C62" i="22"/>
  <c r="H63" i="22" s="1"/>
  <c r="F8" i="62"/>
  <c r="F5" i="62"/>
  <c r="C38" i="22"/>
  <c r="H39" i="22" s="1"/>
  <c r="G170" i="72"/>
  <c r="E29" i="21" s="1"/>
  <c r="H166" i="72"/>
  <c r="H167" i="72"/>
  <c r="I133" i="72"/>
  <c r="G33" i="72"/>
  <c r="F34" i="72"/>
  <c r="F208" i="55"/>
  <c r="G203" i="55"/>
  <c r="H174" i="55"/>
  <c r="H204" i="55" s="1"/>
  <c r="C35" i="21"/>
  <c r="C36" i="21" s="1"/>
  <c r="C36" i="85"/>
  <c r="G24" i="22"/>
  <c r="H9" i="22"/>
  <c r="H13" i="22"/>
  <c r="H23" i="22"/>
  <c r="H15" i="22"/>
  <c r="I4" i="22"/>
  <c r="H12" i="22"/>
  <c r="H20" i="22"/>
  <c r="H11" i="22"/>
  <c r="H14" i="22"/>
  <c r="H21" i="22"/>
  <c r="H19" i="22"/>
  <c r="H16" i="22"/>
  <c r="H22" i="22"/>
  <c r="H17" i="22"/>
  <c r="H18" i="22"/>
  <c r="E88" i="22"/>
  <c r="D43" i="85" s="1"/>
  <c r="D43" i="21"/>
  <c r="G88" i="22"/>
  <c r="F43" i="85" s="1"/>
  <c r="F43" i="21"/>
  <c r="D88" i="22"/>
  <c r="C43" i="85" s="1"/>
  <c r="C43" i="21"/>
  <c r="F9" i="62"/>
  <c r="C56" i="22"/>
  <c r="C20" i="68"/>
  <c r="C88" i="22"/>
  <c r="B43" i="85" s="1"/>
  <c r="B43" i="21"/>
  <c r="E43" i="21"/>
  <c r="F88" i="22"/>
  <c r="E43" i="85" s="1"/>
  <c r="F7" i="62"/>
  <c r="C50" i="22"/>
  <c r="C18" i="68"/>
  <c r="B16" i="89"/>
  <c r="B18" i="89" s="1"/>
  <c r="B24" i="89"/>
  <c r="B32" i="89" s="1"/>
  <c r="C24" i="89"/>
  <c r="C32" i="89" s="1"/>
  <c r="C16" i="89"/>
  <c r="C18" i="89" s="1"/>
  <c r="D10" i="89"/>
  <c r="I28" i="48"/>
  <c r="H37" i="48"/>
  <c r="H36" i="61" s="1"/>
  <c r="F37" i="48"/>
  <c r="C11" i="21" s="1"/>
  <c r="E37" i="48"/>
  <c r="B11" i="21" s="1"/>
  <c r="I36" i="48"/>
  <c r="J22" i="48"/>
  <c r="J50" i="48" s="1"/>
  <c r="I52" i="48"/>
  <c r="I34" i="48"/>
  <c r="I32" i="48"/>
  <c r="I31" i="48"/>
  <c r="I29" i="48"/>
  <c r="G37" i="48"/>
  <c r="G36" i="61" s="1"/>
  <c r="I41" i="48"/>
  <c r="I47" i="48" s="1"/>
  <c r="F21" i="85" s="1"/>
  <c r="I27" i="48"/>
  <c r="E31" i="85"/>
  <c r="E31" i="21"/>
  <c r="I35" i="48"/>
  <c r="E41" i="48"/>
  <c r="E47" i="48" s="1"/>
  <c r="E53" i="48" s="1"/>
  <c r="G41" i="48"/>
  <c r="G47" i="48" s="1"/>
  <c r="F41" i="48"/>
  <c r="F47" i="48" s="1"/>
  <c r="C21" i="21" s="1"/>
  <c r="H41" i="48"/>
  <c r="H47" i="48" s="1"/>
  <c r="E21" i="21" s="1"/>
  <c r="E11" i="21"/>
  <c r="D224" i="53" l="1"/>
  <c r="D156" i="53"/>
  <c r="D105" i="83"/>
  <c r="D36" i="53"/>
  <c r="D89" i="53" s="1"/>
  <c r="B35" i="84"/>
  <c r="B63" i="84" s="1"/>
  <c r="C96" i="83"/>
  <c r="C77" i="83"/>
  <c r="B16" i="84"/>
  <c r="B47" i="84" s="1"/>
  <c r="I266" i="53"/>
  <c r="I268" i="53"/>
  <c r="J124" i="53"/>
  <c r="I267" i="53"/>
  <c r="I269" i="53"/>
  <c r="I244" i="53"/>
  <c r="I206" i="53"/>
  <c r="I215" i="53"/>
  <c r="I220" i="53"/>
  <c r="I152" i="53"/>
  <c r="E158" i="53"/>
  <c r="E226" i="53"/>
  <c r="C115" i="83"/>
  <c r="C46" i="53"/>
  <c r="C99" i="53" s="1"/>
  <c r="E125" i="83"/>
  <c r="E56" i="53"/>
  <c r="E109" i="53" s="1"/>
  <c r="E75" i="83"/>
  <c r="D14" i="84"/>
  <c r="D45" i="84" s="1"/>
  <c r="B57" i="83"/>
  <c r="B85" i="83"/>
  <c r="D241" i="53"/>
  <c r="D176" i="53"/>
  <c r="C42" i="53"/>
  <c r="C95" i="53" s="1"/>
  <c r="C111" i="83"/>
  <c r="C68" i="83"/>
  <c r="B57" i="55"/>
  <c r="B114" i="55" s="1"/>
  <c r="B166" i="55" s="1"/>
  <c r="C49" i="83"/>
  <c r="B38" i="55"/>
  <c r="B95" i="55" s="1"/>
  <c r="B147" i="55" s="1"/>
  <c r="E106" i="83"/>
  <c r="E37" i="53"/>
  <c r="E90" i="53" s="1"/>
  <c r="F70" i="83"/>
  <c r="E59" i="55"/>
  <c r="E116" i="55" s="1"/>
  <c r="E168" i="55" s="1"/>
  <c r="E33" i="85"/>
  <c r="E33" i="21"/>
  <c r="B15" i="84"/>
  <c r="C76" i="83"/>
  <c r="H185" i="84"/>
  <c r="F229" i="53"/>
  <c r="F161" i="53"/>
  <c r="D51" i="83"/>
  <c r="C40" i="55"/>
  <c r="C97" i="55" s="1"/>
  <c r="C149" i="55" s="1"/>
  <c r="D50" i="83"/>
  <c r="C39" i="55"/>
  <c r="C96" i="55" s="1"/>
  <c r="C148" i="55" s="1"/>
  <c r="D91" i="83"/>
  <c r="C30" i="84"/>
  <c r="C61" i="84" s="1"/>
  <c r="D95" i="83"/>
  <c r="C34" i="84"/>
  <c r="C62" i="84" s="1"/>
  <c r="C47" i="53"/>
  <c r="C100" i="53" s="1"/>
  <c r="C116" i="83"/>
  <c r="F126" i="83"/>
  <c r="F57" i="53"/>
  <c r="F110" i="53" s="1"/>
  <c r="E53" i="83"/>
  <c r="D42" i="55"/>
  <c r="D99" i="55" s="1"/>
  <c r="D151" i="55" s="1"/>
  <c r="F40" i="53"/>
  <c r="F93" i="53" s="1"/>
  <c r="F109" i="83"/>
  <c r="F223" i="53"/>
  <c r="F155" i="53"/>
  <c r="C45" i="53"/>
  <c r="C98" i="53" s="1"/>
  <c r="C114" i="83"/>
  <c r="B126" i="84"/>
  <c r="B143" i="84" s="1"/>
  <c r="D156" i="84" s="1"/>
  <c r="B125" i="84"/>
  <c r="B142" i="84" s="1"/>
  <c r="D167" i="84"/>
  <c r="D164" i="84"/>
  <c r="B124" i="84"/>
  <c r="B141" i="84" s="1"/>
  <c r="B60" i="83"/>
  <c r="B88" i="83"/>
  <c r="F178" i="53"/>
  <c r="F243" i="53"/>
  <c r="F103" i="83"/>
  <c r="F34" i="53"/>
  <c r="F87" i="53" s="1"/>
  <c r="B86" i="83"/>
  <c r="B58" i="83"/>
  <c r="G151" i="53"/>
  <c r="G219" i="53"/>
  <c r="B19" i="84"/>
  <c r="B50" i="84" s="1"/>
  <c r="C80" i="83"/>
  <c r="C48" i="53"/>
  <c r="C101" i="53" s="1"/>
  <c r="C117" i="83"/>
  <c r="C112" i="83"/>
  <c r="C43" i="53"/>
  <c r="C96" i="53" s="1"/>
  <c r="G113" i="81"/>
  <c r="G30" i="53"/>
  <c r="G83" i="53" s="1"/>
  <c r="C52" i="83"/>
  <c r="B41" i="55"/>
  <c r="B98" i="55" s="1"/>
  <c r="B150" i="55" s="1"/>
  <c r="E159" i="53"/>
  <c r="E227" i="53"/>
  <c r="D97" i="83"/>
  <c r="C36" i="84"/>
  <c r="C64" i="84" s="1"/>
  <c r="F82" i="83"/>
  <c r="E21" i="84"/>
  <c r="E52" i="84" s="1"/>
  <c r="H274" i="53"/>
  <c r="C46" i="83"/>
  <c r="B35" i="55"/>
  <c r="E107" i="83"/>
  <c r="E38" i="53"/>
  <c r="E91" i="53" s="1"/>
  <c r="B61" i="83"/>
  <c r="B89" i="83"/>
  <c r="D222" i="53"/>
  <c r="D154" i="53"/>
  <c r="F162" i="53"/>
  <c r="F230" i="53"/>
  <c r="E171" i="53"/>
  <c r="E239" i="53"/>
  <c r="E175" i="53"/>
  <c r="E240" i="53"/>
  <c r="D121" i="83"/>
  <c r="D52" i="53"/>
  <c r="D105" i="53" s="1"/>
  <c r="E173" i="53" s="1"/>
  <c r="C93" i="83"/>
  <c r="B32" i="84"/>
  <c r="B90" i="83"/>
  <c r="B62" i="83"/>
  <c r="C44" i="53"/>
  <c r="C97" i="53" s="1"/>
  <c r="C113" i="83"/>
  <c r="D124" i="83"/>
  <c r="D55" i="53"/>
  <c r="D108" i="53" s="1"/>
  <c r="E32" i="85"/>
  <c r="E32" i="21"/>
  <c r="D79" i="83"/>
  <c r="C18" i="84"/>
  <c r="C49" i="84" s="1"/>
  <c r="D69" i="83"/>
  <c r="C58" i="55"/>
  <c r="C115" i="55" s="1"/>
  <c r="C167" i="55" s="1"/>
  <c r="B56" i="83"/>
  <c r="B84" i="83"/>
  <c r="D67" i="83"/>
  <c r="C56" i="55"/>
  <c r="C113" i="55" s="1"/>
  <c r="C165" i="55" s="1"/>
  <c r="D102" i="83"/>
  <c r="D33" i="53"/>
  <c r="D86" i="53" s="1"/>
  <c r="E81" i="83"/>
  <c r="D20" i="84"/>
  <c r="D51" i="84" s="1"/>
  <c r="F110" i="83"/>
  <c r="F41" i="53"/>
  <c r="F94" i="53" s="1"/>
  <c r="E119" i="83"/>
  <c r="E50" i="53"/>
  <c r="E103" i="53" s="1"/>
  <c r="E123" i="83"/>
  <c r="E54" i="53"/>
  <c r="E107" i="53" s="1"/>
  <c r="E54" i="83"/>
  <c r="D43" i="55"/>
  <c r="D100" i="55" s="1"/>
  <c r="D152" i="55" s="1"/>
  <c r="C118" i="83"/>
  <c r="C49" i="53"/>
  <c r="C102" i="53" s="1"/>
  <c r="B37" i="55"/>
  <c r="B94" i="55" s="1"/>
  <c r="B146" i="55" s="1"/>
  <c r="C48" i="83"/>
  <c r="B33" i="84"/>
  <c r="C94" i="83"/>
  <c r="I8" i="22"/>
  <c r="I10" i="22"/>
  <c r="E37" i="84"/>
  <c r="E65" i="84" s="1"/>
  <c r="F98" i="83"/>
  <c r="D78" i="83"/>
  <c r="C17" i="84"/>
  <c r="C48" i="84" s="1"/>
  <c r="I169" i="29"/>
  <c r="I34" i="29"/>
  <c r="I139" i="29"/>
  <c r="I124" i="29"/>
  <c r="I154" i="29"/>
  <c r="F47" i="83"/>
  <c r="E36" i="55"/>
  <c r="E93" i="55" s="1"/>
  <c r="E145" i="55" s="1"/>
  <c r="D160" i="53"/>
  <c r="D228" i="53"/>
  <c r="B83" i="83"/>
  <c r="B55" i="83"/>
  <c r="D122" i="83"/>
  <c r="D53" i="53"/>
  <c r="D106" i="53" s="1"/>
  <c r="E174" i="53" s="1"/>
  <c r="D104" i="83"/>
  <c r="D35" i="53"/>
  <c r="D88" i="53" s="1"/>
  <c r="D92" i="83"/>
  <c r="C31" i="84"/>
  <c r="D225" i="53"/>
  <c r="D157" i="53"/>
  <c r="E120" i="83"/>
  <c r="E51" i="53"/>
  <c r="E104" i="53" s="1"/>
  <c r="F172" i="53" s="1"/>
  <c r="D63" i="83"/>
  <c r="C52" i="55"/>
  <c r="C109" i="55" s="1"/>
  <c r="C161" i="55" s="1"/>
  <c r="B59" i="83"/>
  <c r="B87" i="83"/>
  <c r="E242" i="53"/>
  <c r="E177" i="53"/>
  <c r="I180" i="84"/>
  <c r="I185" i="84" s="1"/>
  <c r="I181" i="84"/>
  <c r="J149" i="84"/>
  <c r="D108" i="83"/>
  <c r="D39" i="53"/>
  <c r="D92" i="53" s="1"/>
  <c r="B51" i="81"/>
  <c r="B28" i="72" s="1"/>
  <c r="D63" i="22"/>
  <c r="C161" i="29"/>
  <c r="B57" i="81"/>
  <c r="B82" i="81"/>
  <c r="C42" i="81"/>
  <c r="C22" i="72" s="1"/>
  <c r="C19" i="53"/>
  <c r="C72" i="53" s="1"/>
  <c r="C102" i="81"/>
  <c r="C45" i="81"/>
  <c r="C25" i="72" s="1"/>
  <c r="B71" i="55"/>
  <c r="B123" i="55" s="1"/>
  <c r="C28" i="53"/>
  <c r="C81" i="53" s="1"/>
  <c r="C111" i="81"/>
  <c r="D93" i="81"/>
  <c r="D10" i="53"/>
  <c r="D63" i="53" s="1"/>
  <c r="B56" i="81"/>
  <c r="B81" i="81"/>
  <c r="C74" i="81"/>
  <c r="C18" i="55" s="1"/>
  <c r="B20" i="72"/>
  <c r="B44" i="72" s="1"/>
  <c r="D97" i="81"/>
  <c r="D14" i="53"/>
  <c r="D67" i="53" s="1"/>
  <c r="C69" i="81"/>
  <c r="B15" i="72"/>
  <c r="B39" i="72" s="1"/>
  <c r="D137" i="53"/>
  <c r="D205" i="53"/>
  <c r="B76" i="81"/>
  <c r="C72" i="81"/>
  <c r="B18" i="72"/>
  <c r="B42" i="72" s="1"/>
  <c r="C71" i="81"/>
  <c r="B17" i="72"/>
  <c r="B41" i="72" s="1"/>
  <c r="D98" i="81"/>
  <c r="D15" i="53"/>
  <c r="D68" i="53" s="1"/>
  <c r="C21" i="53"/>
  <c r="C74" i="53" s="1"/>
  <c r="C104" i="81"/>
  <c r="D94" i="81"/>
  <c r="D11" i="53"/>
  <c r="D64" i="53" s="1"/>
  <c r="C27" i="53"/>
  <c r="C80" i="53" s="1"/>
  <c r="C110" i="81"/>
  <c r="D199" i="53"/>
  <c r="D131" i="53"/>
  <c r="B59" i="81"/>
  <c r="B84" i="81"/>
  <c r="C23" i="53"/>
  <c r="C76" i="53" s="1"/>
  <c r="C106" i="81"/>
  <c r="D133" i="53"/>
  <c r="D201" i="53"/>
  <c r="B75" i="55"/>
  <c r="C49" i="81"/>
  <c r="D130" i="53"/>
  <c r="D198" i="53"/>
  <c r="B78" i="81"/>
  <c r="B53" i="81"/>
  <c r="D95" i="81"/>
  <c r="D12" i="53"/>
  <c r="D65" i="53" s="1"/>
  <c r="D203" i="53"/>
  <c r="D135" i="53"/>
  <c r="B70" i="55"/>
  <c r="B122" i="55" s="1"/>
  <c r="C44" i="81"/>
  <c r="D99" i="81"/>
  <c r="D16" i="53"/>
  <c r="D69" i="53" s="1"/>
  <c r="C18" i="53"/>
  <c r="C71" i="53" s="1"/>
  <c r="C101" i="81"/>
  <c r="C47" i="81"/>
  <c r="C27" i="72" s="1"/>
  <c r="B73" i="55"/>
  <c r="B125" i="55" s="1"/>
  <c r="B72" i="55"/>
  <c r="B124" i="55" s="1"/>
  <c r="C46" i="81"/>
  <c r="D136" i="53"/>
  <c r="D204" i="53"/>
  <c r="B54" i="81"/>
  <c r="B79" i="81"/>
  <c r="D132" i="53"/>
  <c r="D200" i="53"/>
  <c r="C75" i="81"/>
  <c r="B21" i="72"/>
  <c r="B45" i="72" s="1"/>
  <c r="D96" i="81"/>
  <c r="D13" i="53"/>
  <c r="D66" i="53" s="1"/>
  <c r="C73" i="81"/>
  <c r="B19" i="72"/>
  <c r="B43" i="72" s="1"/>
  <c r="C25" i="53"/>
  <c r="C78" i="53" s="1"/>
  <c r="C108" i="81"/>
  <c r="C68" i="81"/>
  <c r="B14" i="72"/>
  <c r="B38" i="72" s="1"/>
  <c r="B55" i="81"/>
  <c r="B80" i="81"/>
  <c r="C29" i="53"/>
  <c r="C82" i="53" s="1"/>
  <c r="C112" i="81"/>
  <c r="B30" i="55"/>
  <c r="B87" i="55" s="1"/>
  <c r="B139" i="55" s="1"/>
  <c r="C61" i="81"/>
  <c r="D92" i="81"/>
  <c r="D9" i="53"/>
  <c r="D62" i="53" s="1"/>
  <c r="B62" i="81"/>
  <c r="B87" i="81"/>
  <c r="C87" i="81" s="1"/>
  <c r="D87" i="81" s="1"/>
  <c r="E87" i="81" s="1"/>
  <c r="F87" i="81" s="1"/>
  <c r="G87" i="81" s="1"/>
  <c r="H87" i="81" s="1"/>
  <c r="C24" i="53"/>
  <c r="C77" i="53" s="1"/>
  <c r="C107" i="81"/>
  <c r="C103" i="81"/>
  <c r="C20" i="53"/>
  <c r="C73" i="53" s="1"/>
  <c r="C67" i="81"/>
  <c r="B13" i="72"/>
  <c r="B37" i="72" s="1"/>
  <c r="B52" i="81"/>
  <c r="C70" i="81"/>
  <c r="B16" i="72"/>
  <c r="B40" i="72" s="1"/>
  <c r="B60" i="81"/>
  <c r="B85" i="81"/>
  <c r="B19" i="55"/>
  <c r="B76" i="55" s="1"/>
  <c r="B128" i="55" s="1"/>
  <c r="C50" i="81"/>
  <c r="D134" i="53"/>
  <c r="D202" i="53"/>
  <c r="B74" i="55"/>
  <c r="B126" i="55" s="1"/>
  <c r="C48" i="81"/>
  <c r="C17" i="55" s="1"/>
  <c r="B58" i="81"/>
  <c r="B83" i="81"/>
  <c r="B69" i="55"/>
  <c r="B121" i="55" s="1"/>
  <c r="C43" i="81"/>
  <c r="C23" i="72" s="1"/>
  <c r="C22" i="53"/>
  <c r="C75" i="53" s="1"/>
  <c r="C105" i="81"/>
  <c r="D191" i="55"/>
  <c r="E191" i="55"/>
  <c r="F191" i="55"/>
  <c r="G191" i="55"/>
  <c r="E29" i="85"/>
  <c r="C131" i="29"/>
  <c r="C146" i="29"/>
  <c r="C176" i="29"/>
  <c r="C24" i="68"/>
  <c r="H191" i="55"/>
  <c r="C39" i="22"/>
  <c r="C40" i="22" s="1"/>
  <c r="I63" i="22"/>
  <c r="E39" i="22"/>
  <c r="F39" i="22"/>
  <c r="C44" i="22"/>
  <c r="I45" i="22" s="1"/>
  <c r="C17" i="68"/>
  <c r="F6" i="62"/>
  <c r="F12" i="62" s="1"/>
  <c r="E19" i="62" s="1"/>
  <c r="C9" i="68" s="1"/>
  <c r="E63" i="22"/>
  <c r="C63" i="22"/>
  <c r="C64" i="22" s="1"/>
  <c r="F63" i="22"/>
  <c r="G39" i="22"/>
  <c r="I39" i="22"/>
  <c r="K62" i="22"/>
  <c r="K63" i="22" s="1"/>
  <c r="K64" i="22" s="1"/>
  <c r="G63" i="22"/>
  <c r="D39" i="22"/>
  <c r="K38" i="22"/>
  <c r="K39" i="22" s="1"/>
  <c r="K40" i="22" s="1"/>
  <c r="C65" i="22"/>
  <c r="D62" i="22" s="1"/>
  <c r="H170" i="72"/>
  <c r="F29" i="85" s="1"/>
  <c r="E11" i="85"/>
  <c r="E196" i="85" s="1"/>
  <c r="I166" i="72"/>
  <c r="I167" i="72"/>
  <c r="J133" i="72"/>
  <c r="G34" i="72"/>
  <c r="H33" i="72"/>
  <c r="I174" i="55"/>
  <c r="I204" i="55" s="1"/>
  <c r="H203" i="55"/>
  <c r="G208" i="55"/>
  <c r="D28" i="85"/>
  <c r="D28" i="21"/>
  <c r="D176" i="29"/>
  <c r="D24" i="68"/>
  <c r="D146" i="29"/>
  <c r="D131" i="29"/>
  <c r="D161" i="29"/>
  <c r="H24" i="22"/>
  <c r="I9" i="22"/>
  <c r="I13" i="22"/>
  <c r="I19" i="22"/>
  <c r="I16" i="22"/>
  <c r="I18" i="22"/>
  <c r="I17" i="22"/>
  <c r="I23" i="22"/>
  <c r="I21" i="22"/>
  <c r="I11" i="22"/>
  <c r="I14" i="22"/>
  <c r="I22" i="22"/>
  <c r="I20" i="22"/>
  <c r="I15" i="22"/>
  <c r="J4" i="22"/>
  <c r="I12" i="22"/>
  <c r="D35" i="21"/>
  <c r="D35" i="85"/>
  <c r="E49" i="61"/>
  <c r="D11" i="85"/>
  <c r="D196" i="85" s="1"/>
  <c r="I53" i="48"/>
  <c r="E21" i="85"/>
  <c r="I49" i="61"/>
  <c r="F21" i="21"/>
  <c r="C21" i="85"/>
  <c r="H49" i="61"/>
  <c r="F36" i="61"/>
  <c r="G97" i="29"/>
  <c r="F61" i="29"/>
  <c r="G12" i="29"/>
  <c r="D258" i="85"/>
  <c r="C222" i="85"/>
  <c r="D173" i="85"/>
  <c r="C272" i="85"/>
  <c r="G61" i="29"/>
  <c r="H12" i="29"/>
  <c r="H97" i="29"/>
  <c r="K50" i="22"/>
  <c r="H51" i="22"/>
  <c r="F51" i="22"/>
  <c r="E51" i="22"/>
  <c r="D51" i="22"/>
  <c r="G51" i="22"/>
  <c r="I51" i="22"/>
  <c r="C51" i="22"/>
  <c r="D97" i="29"/>
  <c r="C61" i="29"/>
  <c r="D12" i="29"/>
  <c r="G258" i="85"/>
  <c r="F272" i="85"/>
  <c r="F222" i="85"/>
  <c r="G173" i="85"/>
  <c r="C258" i="85"/>
  <c r="B222" i="85"/>
  <c r="C173" i="85"/>
  <c r="B272" i="85"/>
  <c r="I57" i="22"/>
  <c r="K56" i="22"/>
  <c r="H57" i="22"/>
  <c r="F57" i="22"/>
  <c r="E57" i="22"/>
  <c r="D57" i="22"/>
  <c r="G57" i="22"/>
  <c r="C57" i="22"/>
  <c r="C58" i="22" s="1"/>
  <c r="B18" i="69"/>
  <c r="C18" i="69" s="1"/>
  <c r="D18" i="69" s="1"/>
  <c r="E18" i="69" s="1"/>
  <c r="F18" i="69" s="1"/>
  <c r="G18" i="69" s="1"/>
  <c r="H18" i="69" s="1"/>
  <c r="E61" i="29"/>
  <c r="F97" i="29"/>
  <c r="F12" i="29"/>
  <c r="F258" i="85"/>
  <c r="E222" i="85"/>
  <c r="F173" i="85"/>
  <c r="E272" i="85"/>
  <c r="D61" i="29"/>
  <c r="E97" i="29"/>
  <c r="E12" i="29"/>
  <c r="E258" i="85"/>
  <c r="D272" i="85"/>
  <c r="D222" i="85"/>
  <c r="E173" i="85"/>
  <c r="C34" i="89"/>
  <c r="D32" i="89"/>
  <c r="B34" i="89"/>
  <c r="D18" i="89"/>
  <c r="D24" i="89"/>
  <c r="C11" i="85"/>
  <c r="F53" i="48"/>
  <c r="F55" i="48" s="1"/>
  <c r="D11" i="21"/>
  <c r="E155" i="29" s="1"/>
  <c r="E55" i="48"/>
  <c r="I37" i="48"/>
  <c r="I36" i="61" s="1"/>
  <c r="F49" i="61"/>
  <c r="B21" i="85"/>
  <c r="E36" i="61"/>
  <c r="G49" i="61"/>
  <c r="D21" i="21"/>
  <c r="D21" i="85"/>
  <c r="G53" i="48"/>
  <c r="G55" i="48" s="1"/>
  <c r="K22" i="48"/>
  <c r="K50" i="48" s="1"/>
  <c r="J36" i="48"/>
  <c r="J52" i="48"/>
  <c r="J31" i="48"/>
  <c r="J34" i="48"/>
  <c r="J32" i="48"/>
  <c r="J29" i="48"/>
  <c r="J35" i="48"/>
  <c r="J28" i="48"/>
  <c r="J33" i="48"/>
  <c r="J27" i="48"/>
  <c r="J42" i="48"/>
  <c r="J30" i="48"/>
  <c r="B21" i="21"/>
  <c r="H53" i="48"/>
  <c r="H55" i="48" s="1"/>
  <c r="B11" i="85"/>
  <c r="J41" i="48"/>
  <c r="F31" i="21"/>
  <c r="F31" i="85"/>
  <c r="D155" i="29"/>
  <c r="D35" i="29"/>
  <c r="D170" i="29"/>
  <c r="D140" i="29"/>
  <c r="D125" i="29"/>
  <c r="F35" i="29"/>
  <c r="F140" i="29"/>
  <c r="F170" i="29"/>
  <c r="F125" i="29"/>
  <c r="F155" i="29"/>
  <c r="B196" i="85"/>
  <c r="E125" i="29"/>
  <c r="C35" i="29"/>
  <c r="C140" i="29"/>
  <c r="C170" i="29"/>
  <c r="C155" i="29"/>
  <c r="C125" i="29"/>
  <c r="E63" i="83" l="1"/>
  <c r="D52" i="55"/>
  <c r="D109" i="55" s="1"/>
  <c r="D161" i="55" s="1"/>
  <c r="B22" i="84"/>
  <c r="B53" i="84" s="1"/>
  <c r="C83" i="83"/>
  <c r="F37" i="84"/>
  <c r="F65" i="84" s="1"/>
  <c r="G98" i="83"/>
  <c r="F175" i="53"/>
  <c r="F240" i="53"/>
  <c r="B23" i="84"/>
  <c r="B54" i="84" s="1"/>
  <c r="C84" i="83"/>
  <c r="C62" i="83"/>
  <c r="B51" i="55"/>
  <c r="B108" i="55" s="1"/>
  <c r="B160" i="55" s="1"/>
  <c r="E97" i="83"/>
  <c r="D36" i="84"/>
  <c r="D64" i="84" s="1"/>
  <c r="E51" i="83"/>
  <c r="D40" i="55"/>
  <c r="D97" i="55" s="1"/>
  <c r="D149" i="55" s="1"/>
  <c r="F177" i="53"/>
  <c r="F242" i="53"/>
  <c r="F123" i="83"/>
  <c r="F54" i="53"/>
  <c r="F107" i="53" s="1"/>
  <c r="B45" i="55"/>
  <c r="B102" i="55" s="1"/>
  <c r="B154" i="55" s="1"/>
  <c r="C56" i="83"/>
  <c r="B29" i="84"/>
  <c r="B60" i="84" s="1"/>
  <c r="C90" i="83"/>
  <c r="G243" i="53"/>
  <c r="G178" i="53"/>
  <c r="D49" i="83"/>
  <c r="C38" i="55"/>
  <c r="C95" i="55" s="1"/>
  <c r="C147" i="55" s="1"/>
  <c r="F56" i="53"/>
  <c r="F109" i="53" s="1"/>
  <c r="F125" i="83"/>
  <c r="J266" i="53"/>
  <c r="J274" i="53" s="1"/>
  <c r="J267" i="53"/>
  <c r="J268" i="53"/>
  <c r="J269" i="53"/>
  <c r="J206" i="53"/>
  <c r="J220" i="53"/>
  <c r="J244" i="53"/>
  <c r="J215" i="53"/>
  <c r="J152" i="53"/>
  <c r="F50" i="53"/>
  <c r="F103" i="53" s="1"/>
  <c r="F119" i="83"/>
  <c r="E69" i="83"/>
  <c r="D58" i="55"/>
  <c r="D115" i="55" s="1"/>
  <c r="D167" i="55" s="1"/>
  <c r="D93" i="83"/>
  <c r="C32" i="84"/>
  <c r="C61" i="83"/>
  <c r="B50" i="55"/>
  <c r="B107" i="55" s="1"/>
  <c r="B159" i="55" s="1"/>
  <c r="C58" i="83"/>
  <c r="B47" i="55"/>
  <c r="B104" i="55" s="1"/>
  <c r="B156" i="55" s="1"/>
  <c r="D116" i="83"/>
  <c r="D47" i="53"/>
  <c r="D100" i="53" s="1"/>
  <c r="F33" i="21"/>
  <c r="F33" i="85"/>
  <c r="D68" i="83"/>
  <c r="C57" i="55"/>
  <c r="C114" i="55" s="1"/>
  <c r="C166" i="55" s="1"/>
  <c r="D46" i="53"/>
  <c r="D99" i="53" s="1"/>
  <c r="D115" i="83"/>
  <c r="I274" i="53"/>
  <c r="E228" i="53"/>
  <c r="E160" i="53"/>
  <c r="C89" i="83"/>
  <c r="B28" i="84"/>
  <c r="B59" i="84" s="1"/>
  <c r="E39" i="53"/>
  <c r="E92" i="53" s="1"/>
  <c r="E108" i="83"/>
  <c r="J180" i="84"/>
  <c r="J181" i="84"/>
  <c r="F36" i="55"/>
  <c r="F93" i="55" s="1"/>
  <c r="F145" i="55" s="1"/>
  <c r="G47" i="83"/>
  <c r="D94" i="83"/>
  <c r="C33" i="84"/>
  <c r="G230" i="53"/>
  <c r="G162" i="53"/>
  <c r="F159" i="53"/>
  <c r="F227" i="53"/>
  <c r="D52" i="83"/>
  <c r="C41" i="55"/>
  <c r="C98" i="55" s="1"/>
  <c r="C150" i="55" s="1"/>
  <c r="B25" i="84"/>
  <c r="B56" i="84" s="1"/>
  <c r="C86" i="83"/>
  <c r="D114" i="83"/>
  <c r="D45" i="53"/>
  <c r="D98" i="53" s="1"/>
  <c r="D236" i="53"/>
  <c r="D168" i="53"/>
  <c r="D76" i="83"/>
  <c r="C15" i="84"/>
  <c r="C46" i="84" s="1"/>
  <c r="D111" i="83"/>
  <c r="D42" i="53"/>
  <c r="D95" i="53" s="1"/>
  <c r="G110" i="83"/>
  <c r="G41" i="53"/>
  <c r="G94" i="53" s="1"/>
  <c r="E79" i="83"/>
  <c r="D18" i="84"/>
  <c r="D49" i="84" s="1"/>
  <c r="E121" i="83"/>
  <c r="E52" i="53"/>
  <c r="E105" i="53" s="1"/>
  <c r="F173" i="53" s="1"/>
  <c r="F107" i="83"/>
  <c r="F38" i="53"/>
  <c r="F91" i="53" s="1"/>
  <c r="H151" i="53"/>
  <c r="H219" i="53"/>
  <c r="G155" i="53"/>
  <c r="G223" i="53"/>
  <c r="D234" i="53"/>
  <c r="D166" i="53"/>
  <c r="E164" i="84"/>
  <c r="C124" i="84"/>
  <c r="C141" i="84" s="1"/>
  <c r="C125" i="84"/>
  <c r="C142" i="84" s="1"/>
  <c r="E167" i="84"/>
  <c r="C126" i="84"/>
  <c r="C143" i="84" s="1"/>
  <c r="E156" i="84" s="1"/>
  <c r="B46" i="84"/>
  <c r="D163" i="53"/>
  <c r="D231" i="53"/>
  <c r="C16" i="84"/>
  <c r="C47" i="84" s="1"/>
  <c r="D77" i="83"/>
  <c r="B92" i="55"/>
  <c r="B144" i="55" s="1"/>
  <c r="H113" i="81"/>
  <c r="I30" i="53" s="1"/>
  <c r="I83" i="53" s="1"/>
  <c r="H30" i="53"/>
  <c r="H83" i="53" s="1"/>
  <c r="G103" i="83"/>
  <c r="G34" i="53"/>
  <c r="G87" i="53" s="1"/>
  <c r="E95" i="83"/>
  <c r="D34" i="84"/>
  <c r="D62" i="84" s="1"/>
  <c r="D96" i="83"/>
  <c r="C35" i="84"/>
  <c r="C63" i="84" s="1"/>
  <c r="D167" i="53"/>
  <c r="D235" i="53"/>
  <c r="E224" i="53"/>
  <c r="E156" i="53"/>
  <c r="E20" i="84"/>
  <c r="E51" i="84" s="1"/>
  <c r="F81" i="83"/>
  <c r="D46" i="83"/>
  <c r="C35" i="55"/>
  <c r="D232" i="53"/>
  <c r="D164" i="53"/>
  <c r="E104" i="83"/>
  <c r="E35" i="53"/>
  <c r="E88" i="53" s="1"/>
  <c r="D238" i="53"/>
  <c r="D170" i="53"/>
  <c r="E222" i="53"/>
  <c r="E154" i="53"/>
  <c r="E176" i="53"/>
  <c r="E241" i="53"/>
  <c r="F32" i="21"/>
  <c r="F32" i="85"/>
  <c r="D112" i="83"/>
  <c r="D43" i="53"/>
  <c r="D96" i="53" s="1"/>
  <c r="G109" i="83"/>
  <c r="G40" i="53"/>
  <c r="G93" i="53" s="1"/>
  <c r="E91" i="83"/>
  <c r="D30" i="84"/>
  <c r="D61" i="84" s="1"/>
  <c r="B24" i="84"/>
  <c r="B55" i="84" s="1"/>
  <c r="C85" i="83"/>
  <c r="E225" i="53"/>
  <c r="E157" i="53"/>
  <c r="J8" i="22"/>
  <c r="J10" i="22"/>
  <c r="E92" i="83"/>
  <c r="D31" i="84"/>
  <c r="B26" i="84"/>
  <c r="B57" i="84" s="1"/>
  <c r="C87" i="83"/>
  <c r="D118" i="83"/>
  <c r="D49" i="53"/>
  <c r="D102" i="53" s="1"/>
  <c r="E102" i="83"/>
  <c r="E33" i="53"/>
  <c r="E86" i="53" s="1"/>
  <c r="E124" i="83"/>
  <c r="E55" i="53"/>
  <c r="E108" i="53" s="1"/>
  <c r="D117" i="83"/>
  <c r="D48" i="53"/>
  <c r="D101" i="53" s="1"/>
  <c r="B27" i="84"/>
  <c r="B58" i="84" s="1"/>
  <c r="C88" i="83"/>
  <c r="G229" i="53"/>
  <c r="G161" i="53"/>
  <c r="G70" i="83"/>
  <c r="F59" i="55"/>
  <c r="F116" i="55" s="1"/>
  <c r="F168" i="55" s="1"/>
  <c r="B46" i="55"/>
  <c r="B103" i="55" s="1"/>
  <c r="B155" i="55" s="1"/>
  <c r="C57" i="83"/>
  <c r="E36" i="53"/>
  <c r="E89" i="53" s="1"/>
  <c r="E105" i="83"/>
  <c r="B48" i="55"/>
  <c r="B105" i="55" s="1"/>
  <c r="B157" i="55" s="1"/>
  <c r="C59" i="83"/>
  <c r="E122" i="83"/>
  <c r="E53" i="53"/>
  <c r="E106" i="53" s="1"/>
  <c r="F174" i="53" s="1"/>
  <c r="D113" i="83"/>
  <c r="D44" i="53"/>
  <c r="D97" i="53" s="1"/>
  <c r="F21" i="84"/>
  <c r="F52" i="84" s="1"/>
  <c r="G82" i="83"/>
  <c r="D237" i="53"/>
  <c r="D169" i="53"/>
  <c r="B49" i="55"/>
  <c r="B106" i="55" s="1"/>
  <c r="B158" i="55" s="1"/>
  <c r="C60" i="83"/>
  <c r="E50" i="83"/>
  <c r="D39" i="55"/>
  <c r="D96" i="55" s="1"/>
  <c r="D148" i="55" s="1"/>
  <c r="F226" i="53"/>
  <c r="F158" i="53"/>
  <c r="F120" i="83"/>
  <c r="F51" i="53"/>
  <c r="F104" i="53" s="1"/>
  <c r="G172" i="53" s="1"/>
  <c r="F239" i="53"/>
  <c r="F171" i="53"/>
  <c r="G57" i="53"/>
  <c r="G110" i="53" s="1"/>
  <c r="G126" i="83"/>
  <c r="G33" i="85"/>
  <c r="G33" i="21"/>
  <c r="D48" i="83"/>
  <c r="C37" i="55"/>
  <c r="C94" i="55" s="1"/>
  <c r="C146" i="55" s="1"/>
  <c r="B44" i="55"/>
  <c r="B101" i="55" s="1"/>
  <c r="B153" i="55" s="1"/>
  <c r="C55" i="83"/>
  <c r="E78" i="83"/>
  <c r="D17" i="84"/>
  <c r="D48" i="84" s="1"/>
  <c r="F54" i="83"/>
  <c r="E43" i="55"/>
  <c r="E100" i="55" s="1"/>
  <c r="E152" i="55" s="1"/>
  <c r="E67" i="83"/>
  <c r="D56" i="55"/>
  <c r="D113" i="55" s="1"/>
  <c r="D165" i="55" s="1"/>
  <c r="D165" i="53"/>
  <c r="D233" i="53"/>
  <c r="D80" i="83"/>
  <c r="C19" i="84"/>
  <c r="C50" i="84" s="1"/>
  <c r="F53" i="83"/>
  <c r="E42" i="55"/>
  <c r="E99" i="55" s="1"/>
  <c r="E151" i="55" s="1"/>
  <c r="F106" i="83"/>
  <c r="F37" i="53"/>
  <c r="F90" i="53" s="1"/>
  <c r="F75" i="83"/>
  <c r="E14" i="84"/>
  <c r="E45" i="84" s="1"/>
  <c r="B29" i="72"/>
  <c r="B53" i="72" s="1"/>
  <c r="B65" i="72" s="1"/>
  <c r="B21" i="55"/>
  <c r="C26" i="72"/>
  <c r="C24" i="72"/>
  <c r="C74" i="55"/>
  <c r="C126" i="55" s="1"/>
  <c r="F45" i="22"/>
  <c r="F67" i="22" s="1"/>
  <c r="I170" i="72"/>
  <c r="G29" i="21" s="1"/>
  <c r="F29" i="21"/>
  <c r="B127" i="55"/>
  <c r="D180" i="55" s="1"/>
  <c r="D188" i="55"/>
  <c r="D65" i="22"/>
  <c r="E62" i="22" s="1"/>
  <c r="E65" i="22" s="1"/>
  <c r="F62" i="22" s="1"/>
  <c r="F65" i="22" s="1"/>
  <c r="G62" i="22" s="1"/>
  <c r="G65" i="22" s="1"/>
  <c r="H62" i="22" s="1"/>
  <c r="H65" i="22" s="1"/>
  <c r="I62" i="22" s="1"/>
  <c r="I65" i="22" s="1"/>
  <c r="D64" i="22"/>
  <c r="E64" i="22" s="1"/>
  <c r="F64" i="22" s="1"/>
  <c r="G64" i="22" s="1"/>
  <c r="H64" i="22" s="1"/>
  <c r="I64" i="22" s="1"/>
  <c r="E45" i="22"/>
  <c r="E67" i="22" s="1"/>
  <c r="H45" i="22"/>
  <c r="H67" i="22" s="1"/>
  <c r="K65" i="22"/>
  <c r="L62" i="22" s="1"/>
  <c r="L63" i="22" s="1"/>
  <c r="L64" i="22" s="1"/>
  <c r="C66" i="22"/>
  <c r="B13" i="69" s="1"/>
  <c r="K44" i="22"/>
  <c r="K45" i="22" s="1"/>
  <c r="K46" i="22" s="1"/>
  <c r="D45" i="22"/>
  <c r="D67" i="22" s="1"/>
  <c r="G45" i="22"/>
  <c r="G67" i="22" s="1"/>
  <c r="C45" i="22"/>
  <c r="C46" i="22" s="1"/>
  <c r="B20" i="55"/>
  <c r="B78" i="55"/>
  <c r="B130" i="55" s="1"/>
  <c r="C52" i="81"/>
  <c r="B31" i="55"/>
  <c r="B88" i="55" s="1"/>
  <c r="B140" i="55" s="1"/>
  <c r="C62" i="81"/>
  <c r="D146" i="53"/>
  <c r="D214" i="53"/>
  <c r="E96" i="81"/>
  <c r="E13" i="53"/>
  <c r="E66" i="53" s="1"/>
  <c r="D47" i="81"/>
  <c r="D27" i="72" s="1"/>
  <c r="C73" i="55"/>
  <c r="C125" i="55" s="1"/>
  <c r="C114" i="53"/>
  <c r="D106" i="81"/>
  <c r="D23" i="53"/>
  <c r="D76" i="53" s="1"/>
  <c r="B68" i="55"/>
  <c r="B120" i="55" s="1"/>
  <c r="D43" i="81"/>
  <c r="D23" i="72" s="1"/>
  <c r="C69" i="55"/>
  <c r="C121" i="55" s="1"/>
  <c r="D48" i="81"/>
  <c r="D17" i="55" s="1"/>
  <c r="D50" i="81"/>
  <c r="C19" i="55"/>
  <c r="C76" i="55" s="1"/>
  <c r="C128" i="55" s="1"/>
  <c r="B70" i="72"/>
  <c r="B71" i="72"/>
  <c r="D24" i="53"/>
  <c r="D77" i="53" s="1"/>
  <c r="D107" i="81"/>
  <c r="E198" i="53"/>
  <c r="E130" i="53"/>
  <c r="D112" i="81"/>
  <c r="D29" i="53"/>
  <c r="D82" i="53" s="1"/>
  <c r="C79" i="81"/>
  <c r="B49" i="72"/>
  <c r="D46" i="81"/>
  <c r="C72" i="55"/>
  <c r="C124" i="55" s="1"/>
  <c r="D101" i="81"/>
  <c r="D18" i="53"/>
  <c r="D71" i="53" s="1"/>
  <c r="D44" i="81"/>
  <c r="C70" i="55"/>
  <c r="C122" i="55" s="1"/>
  <c r="E201" i="53"/>
  <c r="E133" i="53"/>
  <c r="D144" i="53"/>
  <c r="D212" i="53"/>
  <c r="D148" i="53"/>
  <c r="D216" i="53"/>
  <c r="D142" i="53"/>
  <c r="D210" i="53"/>
  <c r="D71" i="81"/>
  <c r="C17" i="72"/>
  <c r="C41" i="72" s="1"/>
  <c r="C51" i="81"/>
  <c r="D69" i="81"/>
  <c r="C15" i="72"/>
  <c r="C39" i="72" s="1"/>
  <c r="D74" i="81"/>
  <c r="D18" i="55" s="1"/>
  <c r="C20" i="72"/>
  <c r="C44" i="72" s="1"/>
  <c r="E93" i="81"/>
  <c r="E10" i="53"/>
  <c r="E63" i="53" s="1"/>
  <c r="D45" i="81"/>
  <c r="D25" i="72" s="1"/>
  <c r="C71" i="55"/>
  <c r="C123" i="55" s="1"/>
  <c r="D42" i="81"/>
  <c r="D22" i="72" s="1"/>
  <c r="B27" i="55"/>
  <c r="B84" i="55" s="1"/>
  <c r="B136" i="55" s="1"/>
  <c r="C58" i="81"/>
  <c r="C60" i="81"/>
  <c r="B29" i="55"/>
  <c r="B86" i="55" s="1"/>
  <c r="B138" i="55" s="1"/>
  <c r="D103" i="81"/>
  <c r="D20" i="53"/>
  <c r="D73" i="53" s="1"/>
  <c r="E99" i="81"/>
  <c r="E16" i="53"/>
  <c r="E69" i="53" s="1"/>
  <c r="C78" i="81"/>
  <c r="B48" i="72"/>
  <c r="B60" i="72" s="1"/>
  <c r="D104" i="81"/>
  <c r="D21" i="53"/>
  <c r="D74" i="53" s="1"/>
  <c r="C76" i="81"/>
  <c r="B46" i="72"/>
  <c r="D148" i="72" s="1"/>
  <c r="D70" i="81"/>
  <c r="C16" i="72"/>
  <c r="C40" i="72" s="1"/>
  <c r="D67" i="81"/>
  <c r="C13" i="72"/>
  <c r="C37" i="72" s="1"/>
  <c r="D145" i="53"/>
  <c r="D213" i="53"/>
  <c r="E92" i="81"/>
  <c r="E9" i="53"/>
  <c r="E62" i="53" s="1"/>
  <c r="D150" i="53"/>
  <c r="D218" i="53"/>
  <c r="D68" i="81"/>
  <c r="C14" i="72"/>
  <c r="C38" i="72" s="1"/>
  <c r="D73" i="81"/>
  <c r="C19" i="72"/>
  <c r="C43" i="72" s="1"/>
  <c r="D75" i="81"/>
  <c r="C21" i="72"/>
  <c r="C45" i="72" s="1"/>
  <c r="B23" i="55"/>
  <c r="B80" i="55" s="1"/>
  <c r="B132" i="55" s="1"/>
  <c r="C54" i="81"/>
  <c r="D139" i="53"/>
  <c r="D207" i="53"/>
  <c r="E12" i="53"/>
  <c r="E65" i="53" s="1"/>
  <c r="E95" i="81"/>
  <c r="C119" i="53"/>
  <c r="C118" i="53"/>
  <c r="C84" i="81"/>
  <c r="B30" i="72"/>
  <c r="B54" i="72" s="1"/>
  <c r="E132" i="53"/>
  <c r="E200" i="53"/>
  <c r="E136" i="53"/>
  <c r="E204" i="53"/>
  <c r="B79" i="72"/>
  <c r="B78" i="72"/>
  <c r="E135" i="53"/>
  <c r="E203" i="53"/>
  <c r="C81" i="81"/>
  <c r="B51" i="72"/>
  <c r="D28" i="53"/>
  <c r="D81" i="53" s="1"/>
  <c r="D111" i="81"/>
  <c r="D102" i="81"/>
  <c r="D19" i="53"/>
  <c r="D72" i="53" s="1"/>
  <c r="C82" i="81"/>
  <c r="B52" i="72"/>
  <c r="D143" i="53"/>
  <c r="D211" i="53"/>
  <c r="C55" i="81"/>
  <c r="B24" i="55"/>
  <c r="B81" i="55" s="1"/>
  <c r="B133" i="55" s="1"/>
  <c r="C75" i="55"/>
  <c r="D49" i="81"/>
  <c r="D110" i="81"/>
  <c r="D27" i="53"/>
  <c r="D80" i="53" s="1"/>
  <c r="E131" i="53"/>
  <c r="E199" i="53"/>
  <c r="D105" i="81"/>
  <c r="D22" i="53"/>
  <c r="D75" i="53" s="1"/>
  <c r="C83" i="81"/>
  <c r="C85" i="81"/>
  <c r="B31" i="72"/>
  <c r="B55" i="72" s="1"/>
  <c r="C77" i="81"/>
  <c r="C13" i="84" s="1"/>
  <c r="B47" i="72"/>
  <c r="D141" i="53"/>
  <c r="D209" i="53"/>
  <c r="D61" i="81"/>
  <c r="C30" i="55"/>
  <c r="C87" i="55" s="1"/>
  <c r="C139" i="55" s="1"/>
  <c r="C80" i="81"/>
  <c r="B50" i="72"/>
  <c r="B62" i="72" s="1"/>
  <c r="D108" i="81"/>
  <c r="D25" i="53"/>
  <c r="D78" i="53" s="1"/>
  <c r="E202" i="53"/>
  <c r="E134" i="53"/>
  <c r="E205" i="53"/>
  <c r="E137" i="53"/>
  <c r="B22" i="55"/>
  <c r="B79" i="55" s="1"/>
  <c r="B131" i="55" s="1"/>
  <c r="C53" i="81"/>
  <c r="C116" i="53"/>
  <c r="C115" i="53"/>
  <c r="B28" i="55"/>
  <c r="B85" i="55" s="1"/>
  <c r="B137" i="55" s="1"/>
  <c r="C59" i="81"/>
  <c r="E94" i="81"/>
  <c r="E11" i="53"/>
  <c r="E64" i="53" s="1"/>
  <c r="E98" i="81"/>
  <c r="E15" i="53"/>
  <c r="E68" i="53" s="1"/>
  <c r="D72" i="81"/>
  <c r="C18" i="72"/>
  <c r="C42" i="72" s="1"/>
  <c r="E97" i="81"/>
  <c r="E14" i="53"/>
  <c r="E67" i="53" s="1"/>
  <c r="C56" i="81"/>
  <c r="B25" i="55"/>
  <c r="B82" i="55" s="1"/>
  <c r="B134" i="55" s="1"/>
  <c r="D149" i="53"/>
  <c r="D217" i="53"/>
  <c r="D140" i="53"/>
  <c r="D208" i="53"/>
  <c r="B26" i="55"/>
  <c r="B83" i="55" s="1"/>
  <c r="B135" i="55" s="1"/>
  <c r="C57" i="81"/>
  <c r="C41" i="22"/>
  <c r="D38" i="22" s="1"/>
  <c r="D41" i="22" s="1"/>
  <c r="E38" i="22" s="1"/>
  <c r="E41" i="22" s="1"/>
  <c r="F38" i="22" s="1"/>
  <c r="F41" i="22" s="1"/>
  <c r="G38" i="22" s="1"/>
  <c r="G41" i="22" s="1"/>
  <c r="H38" i="22" s="1"/>
  <c r="H41" i="22" s="1"/>
  <c r="I38" i="22" s="1"/>
  <c r="I41" i="22" s="1"/>
  <c r="I191" i="55"/>
  <c r="D40" i="22"/>
  <c r="E40" i="22" s="1"/>
  <c r="F40" i="22" s="1"/>
  <c r="G40" i="22" s="1"/>
  <c r="H40" i="22" s="1"/>
  <c r="I40" i="22" s="1"/>
  <c r="C47" i="22"/>
  <c r="D44" i="22" s="1"/>
  <c r="J167" i="72"/>
  <c r="J166" i="72"/>
  <c r="H34" i="72"/>
  <c r="D36" i="85"/>
  <c r="H208" i="55"/>
  <c r="F28" i="85" s="1"/>
  <c r="D36" i="21"/>
  <c r="E28" i="21"/>
  <c r="E28" i="85"/>
  <c r="I203" i="55"/>
  <c r="J174" i="55"/>
  <c r="J204" i="55" s="1"/>
  <c r="K41" i="22"/>
  <c r="L38" i="22" s="1"/>
  <c r="L39" i="22" s="1"/>
  <c r="B34" i="69"/>
  <c r="C34" i="69" s="1"/>
  <c r="D34" i="69" s="1"/>
  <c r="E34" i="69" s="1"/>
  <c r="F34" i="69" s="1"/>
  <c r="G34" i="69" s="1"/>
  <c r="H34" i="69" s="1"/>
  <c r="C59" i="22"/>
  <c r="D56" i="22" s="1"/>
  <c r="D59" i="22" s="1"/>
  <c r="E56" i="22" s="1"/>
  <c r="E59" i="22" s="1"/>
  <c r="F56" i="22" s="1"/>
  <c r="F59" i="22" s="1"/>
  <c r="G56" i="22" s="1"/>
  <c r="G59" i="22" s="1"/>
  <c r="H56" i="22" s="1"/>
  <c r="H59" i="22" s="1"/>
  <c r="I56" i="22" s="1"/>
  <c r="I59" i="22" s="1"/>
  <c r="D58" i="22"/>
  <c r="E58" i="22" s="1"/>
  <c r="F58" i="22" s="1"/>
  <c r="G58" i="22" s="1"/>
  <c r="H58" i="22" s="1"/>
  <c r="I58" i="22" s="1"/>
  <c r="J11" i="22"/>
  <c r="J14" i="22"/>
  <c r="J21" i="22"/>
  <c r="J17" i="22"/>
  <c r="J19" i="22"/>
  <c r="J13" i="22"/>
  <c r="J20" i="22"/>
  <c r="J15" i="22"/>
  <c r="J16" i="22"/>
  <c r="J23" i="22"/>
  <c r="J22" i="22"/>
  <c r="J12" i="22"/>
  <c r="K4" i="22"/>
  <c r="J9" i="22"/>
  <c r="J18" i="22"/>
  <c r="I24" i="22"/>
  <c r="E35" i="21"/>
  <c r="E35" i="85"/>
  <c r="C196" i="85"/>
  <c r="E140" i="29"/>
  <c r="E170" i="29"/>
  <c r="K57" i="22"/>
  <c r="K58" i="22" s="1"/>
  <c r="C52" i="22"/>
  <c r="K51" i="22"/>
  <c r="C53" i="22"/>
  <c r="I67" i="22"/>
  <c r="D34" i="89"/>
  <c r="E35" i="29"/>
  <c r="F11" i="21"/>
  <c r="G140" i="29" s="1"/>
  <c r="I55" i="48"/>
  <c r="F11" i="85"/>
  <c r="K52" i="48"/>
  <c r="K36" i="48"/>
  <c r="K29" i="48"/>
  <c r="K32" i="48"/>
  <c r="K31" i="48"/>
  <c r="K34" i="48"/>
  <c r="K35" i="48"/>
  <c r="K30" i="48"/>
  <c r="K42" i="48"/>
  <c r="K27" i="48"/>
  <c r="K28" i="48"/>
  <c r="K33" i="48"/>
  <c r="K41" i="48"/>
  <c r="K47" i="48" s="1"/>
  <c r="J47" i="48"/>
  <c r="G31" i="21"/>
  <c r="G31" i="85"/>
  <c r="J37" i="48"/>
  <c r="D88" i="83" l="1"/>
  <c r="C27" i="84"/>
  <c r="C58" i="84" s="1"/>
  <c r="E164" i="53"/>
  <c r="E232" i="53"/>
  <c r="F167" i="84"/>
  <c r="D126" i="84"/>
  <c r="D143" i="84" s="1"/>
  <c r="F156" i="84" s="1"/>
  <c r="D125" i="84"/>
  <c r="D142" i="84" s="1"/>
  <c r="D124" i="84"/>
  <c r="D141" i="84" s="1"/>
  <c r="F164" i="84"/>
  <c r="B39" i="84"/>
  <c r="D15" i="84"/>
  <c r="D46" i="84" s="1"/>
  <c r="E76" i="83"/>
  <c r="G53" i="83"/>
  <c r="F42" i="55"/>
  <c r="F99" i="55" s="1"/>
  <c r="F151" i="55" s="1"/>
  <c r="F122" i="83"/>
  <c r="F53" i="53"/>
  <c r="F106" i="53" s="1"/>
  <c r="G174" i="53" s="1"/>
  <c r="E31" i="84"/>
  <c r="F92" i="83"/>
  <c r="E112" i="83"/>
  <c r="E43" i="53"/>
  <c r="E96" i="53" s="1"/>
  <c r="F95" i="83"/>
  <c r="E34" i="84"/>
  <c r="E62" i="84" s="1"/>
  <c r="G159" i="53"/>
  <c r="G227" i="53"/>
  <c r="G32" i="21"/>
  <c r="G32" i="85"/>
  <c r="D61" i="83"/>
  <c r="C50" i="55"/>
  <c r="C107" i="55" s="1"/>
  <c r="C159" i="55" s="1"/>
  <c r="D56" i="83"/>
  <c r="C45" i="55"/>
  <c r="C102" i="55" s="1"/>
  <c r="C154" i="55" s="1"/>
  <c r="D62" i="83"/>
  <c r="C51" i="55"/>
  <c r="C108" i="55" s="1"/>
  <c r="C160" i="55" s="1"/>
  <c r="D59" i="83"/>
  <c r="C48" i="55"/>
  <c r="C105" i="55" s="1"/>
  <c r="C157" i="55" s="1"/>
  <c r="E169" i="53"/>
  <c r="E237" i="53"/>
  <c r="C92" i="55"/>
  <c r="C144" i="55" s="1"/>
  <c r="H155" i="53"/>
  <c r="H223" i="53"/>
  <c r="G107" i="83"/>
  <c r="G38" i="53"/>
  <c r="G91" i="53" s="1"/>
  <c r="D33" i="84"/>
  <c r="E94" i="83"/>
  <c r="E115" i="83"/>
  <c r="E46" i="53"/>
  <c r="E99" i="53" s="1"/>
  <c r="D84" i="83"/>
  <c r="C23" i="84"/>
  <c r="C54" i="84" s="1"/>
  <c r="E80" i="83"/>
  <c r="D19" i="84"/>
  <c r="D50" i="84" s="1"/>
  <c r="E48" i="83"/>
  <c r="D37" i="55"/>
  <c r="D94" i="55" s="1"/>
  <c r="D146" i="55" s="1"/>
  <c r="F50" i="83"/>
  <c r="E39" i="55"/>
  <c r="E96" i="55" s="1"/>
  <c r="E148" i="55" s="1"/>
  <c r="E117" i="83"/>
  <c r="E48" i="53"/>
  <c r="E101" i="53" s="1"/>
  <c r="E46" i="83"/>
  <c r="D35" i="55"/>
  <c r="H34" i="53"/>
  <c r="H87" i="53" s="1"/>
  <c r="H103" i="83"/>
  <c r="I34" i="53" s="1"/>
  <c r="I87" i="53" s="1"/>
  <c r="E234" i="53"/>
  <c r="E166" i="53"/>
  <c r="G36" i="55"/>
  <c r="G93" i="55" s="1"/>
  <c r="G145" i="55" s="1"/>
  <c r="H47" i="83"/>
  <c r="H36" i="55" s="1"/>
  <c r="H93" i="55" s="1"/>
  <c r="H145" i="55" s="1"/>
  <c r="E235" i="53"/>
  <c r="E167" i="53"/>
  <c r="E93" i="83"/>
  <c r="D32" i="84"/>
  <c r="G240" i="53"/>
  <c r="G175" i="53"/>
  <c r="K8" i="22"/>
  <c r="K10" i="22"/>
  <c r="D60" i="83"/>
  <c r="C49" i="55"/>
  <c r="C106" i="55" s="1"/>
  <c r="C158" i="55" s="1"/>
  <c r="F105" i="83"/>
  <c r="F36" i="53"/>
  <c r="F89" i="53" s="1"/>
  <c r="I219" i="53"/>
  <c r="I151" i="53"/>
  <c r="F121" i="83"/>
  <c r="F52" i="53"/>
  <c r="F105" i="53" s="1"/>
  <c r="G173" i="53" s="1"/>
  <c r="E45" i="53"/>
  <c r="E98" i="53" s="1"/>
  <c r="E114" i="83"/>
  <c r="H32" i="85"/>
  <c r="H32" i="21"/>
  <c r="G54" i="53"/>
  <c r="G107" i="53" s="1"/>
  <c r="G123" i="83"/>
  <c r="F225" i="53"/>
  <c r="F157" i="53"/>
  <c r="F55" i="53"/>
  <c r="F108" i="53" s="1"/>
  <c r="F124" i="83"/>
  <c r="J151" i="53"/>
  <c r="J219" i="53"/>
  <c r="D86" i="83"/>
  <c r="C25" i="84"/>
  <c r="C56" i="84" s="1"/>
  <c r="E68" i="83"/>
  <c r="D57" i="55"/>
  <c r="D114" i="55" s="1"/>
  <c r="D166" i="55" s="1"/>
  <c r="F69" i="83"/>
  <c r="E58" i="55"/>
  <c r="E115" i="55" s="1"/>
  <c r="E167" i="55" s="1"/>
  <c r="G125" i="83"/>
  <c r="G56" i="53"/>
  <c r="G109" i="53" s="1"/>
  <c r="H57" i="53"/>
  <c r="H110" i="53" s="1"/>
  <c r="H126" i="83"/>
  <c r="I57" i="53" s="1"/>
  <c r="I110" i="53" s="1"/>
  <c r="D57" i="83"/>
  <c r="C46" i="55"/>
  <c r="C103" i="55" s="1"/>
  <c r="C155" i="55" s="1"/>
  <c r="F154" i="53"/>
  <c r="F222" i="53"/>
  <c r="D85" i="83"/>
  <c r="C24" i="84"/>
  <c r="C55" i="84" s="1"/>
  <c r="B61" i="55"/>
  <c r="F79" i="83"/>
  <c r="E18" i="84"/>
  <c r="E49" i="84" s="1"/>
  <c r="J185" i="84"/>
  <c r="G119" i="83"/>
  <c r="G50" i="53"/>
  <c r="G103" i="53" s="1"/>
  <c r="G242" i="53"/>
  <c r="G177" i="53"/>
  <c r="G37" i="84"/>
  <c r="G65" i="84" s="1"/>
  <c r="H98" i="83"/>
  <c r="H37" i="84" s="1"/>
  <c r="H65" i="84" s="1"/>
  <c r="H230" i="53"/>
  <c r="H162" i="53"/>
  <c r="F39" i="53"/>
  <c r="F92" i="53" s="1"/>
  <c r="F108" i="83"/>
  <c r="G171" i="53"/>
  <c r="G239" i="53"/>
  <c r="H82" i="83"/>
  <c r="H21" i="84" s="1"/>
  <c r="H52" i="84" s="1"/>
  <c r="G21" i="84"/>
  <c r="G52" i="84" s="1"/>
  <c r="E170" i="53"/>
  <c r="E238" i="53"/>
  <c r="E77" i="83"/>
  <c r="D16" i="84"/>
  <c r="D47" i="84" s="1"/>
  <c r="H41" i="53"/>
  <c r="H94" i="53" s="1"/>
  <c r="H110" i="83"/>
  <c r="I41" i="53" s="1"/>
  <c r="I94" i="53" s="1"/>
  <c r="E52" i="83"/>
  <c r="D41" i="55"/>
  <c r="D98" i="55" s="1"/>
  <c r="D150" i="55" s="1"/>
  <c r="F160" i="53"/>
  <c r="F228" i="53"/>
  <c r="E236" i="53"/>
  <c r="E168" i="53"/>
  <c r="E49" i="83"/>
  <c r="D38" i="55"/>
  <c r="D95" i="55" s="1"/>
  <c r="D147" i="55" s="1"/>
  <c r="F51" i="83"/>
  <c r="E40" i="55"/>
  <c r="E97" i="55" s="1"/>
  <c r="E149" i="55" s="1"/>
  <c r="D83" i="83"/>
  <c r="C22" i="84"/>
  <c r="C53" i="84" s="1"/>
  <c r="F241" i="53"/>
  <c r="F176" i="53"/>
  <c r="H243" i="53"/>
  <c r="H178" i="53"/>
  <c r="F102" i="83"/>
  <c r="F33" i="53"/>
  <c r="F86" i="53" s="1"/>
  <c r="G75" i="83"/>
  <c r="F14" i="84"/>
  <c r="F45" i="84" s="1"/>
  <c r="G54" i="83"/>
  <c r="F43" i="55"/>
  <c r="F100" i="55" s="1"/>
  <c r="F152" i="55" s="1"/>
  <c r="H70" i="83"/>
  <c r="H59" i="55" s="1"/>
  <c r="H116" i="55" s="1"/>
  <c r="H168" i="55" s="1"/>
  <c r="G59" i="55"/>
  <c r="G116" i="55" s="1"/>
  <c r="G168" i="55" s="1"/>
  <c r="E118" i="83"/>
  <c r="E49" i="53"/>
  <c r="E102" i="53" s="1"/>
  <c r="F91" i="83"/>
  <c r="E30" i="84"/>
  <c r="E61" i="84" s="1"/>
  <c r="E163" i="53"/>
  <c r="E231" i="53"/>
  <c r="E116" i="83"/>
  <c r="E47" i="53"/>
  <c r="E100" i="53" s="1"/>
  <c r="G158" i="53"/>
  <c r="G226" i="53"/>
  <c r="E233" i="53"/>
  <c r="E165" i="53"/>
  <c r="D87" i="83"/>
  <c r="C26" i="84"/>
  <c r="C57" i="84" s="1"/>
  <c r="H229" i="53"/>
  <c r="H161" i="53"/>
  <c r="F224" i="53"/>
  <c r="F156" i="53"/>
  <c r="E111" i="83"/>
  <c r="E42" i="53"/>
  <c r="E95" i="53" s="1"/>
  <c r="C28" i="84"/>
  <c r="C59" i="84" s="1"/>
  <c r="D89" i="83"/>
  <c r="D55" i="83"/>
  <c r="C44" i="55"/>
  <c r="C101" i="55" s="1"/>
  <c r="C153" i="55" s="1"/>
  <c r="F20" i="84"/>
  <c r="F51" i="84" s="1"/>
  <c r="G81" i="83"/>
  <c r="E56" i="55"/>
  <c r="E113" i="55" s="1"/>
  <c r="E165" i="55" s="1"/>
  <c r="F67" i="83"/>
  <c r="G106" i="83"/>
  <c r="G37" i="53"/>
  <c r="G90" i="53" s="1"/>
  <c r="F78" i="83"/>
  <c r="E17" i="84"/>
  <c r="E48" i="84" s="1"/>
  <c r="G51" i="53"/>
  <c r="G104" i="53" s="1"/>
  <c r="H172" i="53" s="1"/>
  <c r="G120" i="83"/>
  <c r="E113" i="83"/>
  <c r="E44" i="53"/>
  <c r="E97" i="53" s="1"/>
  <c r="H40" i="53"/>
  <c r="H93" i="53" s="1"/>
  <c r="H109" i="83"/>
  <c r="I40" i="53" s="1"/>
  <c r="I93" i="53" s="1"/>
  <c r="F35" i="53"/>
  <c r="F88" i="53" s="1"/>
  <c r="F104" i="83"/>
  <c r="E96" i="83"/>
  <c r="D35" i="84"/>
  <c r="D63" i="84" s="1"/>
  <c r="D58" i="83"/>
  <c r="C47" i="55"/>
  <c r="C104" i="55" s="1"/>
  <c r="C156" i="55" s="1"/>
  <c r="C29" i="84"/>
  <c r="C60" i="84" s="1"/>
  <c r="D90" i="83"/>
  <c r="F97" i="83"/>
  <c r="E36" i="84"/>
  <c r="E64" i="84" s="1"/>
  <c r="E52" i="55"/>
  <c r="E109" i="55" s="1"/>
  <c r="E161" i="55" s="1"/>
  <c r="F63" i="83"/>
  <c r="G29" i="85"/>
  <c r="C28" i="72"/>
  <c r="C52" i="72" s="1"/>
  <c r="D26" i="72"/>
  <c r="D24" i="72"/>
  <c r="C29" i="72"/>
  <c r="C53" i="72" s="1"/>
  <c r="C65" i="72" s="1"/>
  <c r="C21" i="55"/>
  <c r="C78" i="55" s="1"/>
  <c r="C130" i="55" s="1"/>
  <c r="C44" i="84"/>
  <c r="B64" i="72"/>
  <c r="B59" i="72"/>
  <c r="D139" i="72" s="1"/>
  <c r="D149" i="72"/>
  <c r="D142" i="72"/>
  <c r="D152" i="72"/>
  <c r="B63" i="72"/>
  <c r="D141" i="72" s="1"/>
  <c r="D151" i="72"/>
  <c r="B61" i="72"/>
  <c r="D140" i="72" s="1"/>
  <c r="D150" i="72"/>
  <c r="J170" i="72"/>
  <c r="H29" i="21" s="1"/>
  <c r="B91" i="72"/>
  <c r="B58" i="72"/>
  <c r="C127" i="55"/>
  <c r="E180" i="55" s="1"/>
  <c r="E188" i="55"/>
  <c r="B77" i="55"/>
  <c r="B129" i="55" s="1"/>
  <c r="D194" i="55" s="1"/>
  <c r="B33" i="55"/>
  <c r="D47" i="22"/>
  <c r="E44" i="22" s="1"/>
  <c r="E47" i="22" s="1"/>
  <c r="F44" i="22" s="1"/>
  <c r="F47" i="22" s="1"/>
  <c r="G44" i="22" s="1"/>
  <c r="G47" i="22" s="1"/>
  <c r="H44" i="22" s="1"/>
  <c r="H47" i="22" s="1"/>
  <c r="I44" i="22" s="1"/>
  <c r="I47" i="22" s="1"/>
  <c r="K66" i="22"/>
  <c r="K47" i="22"/>
  <c r="L44" i="22" s="1"/>
  <c r="L45" i="22" s="1"/>
  <c r="L46" i="22" s="1"/>
  <c r="D46" i="22"/>
  <c r="E46" i="22" s="1"/>
  <c r="F46" i="22" s="1"/>
  <c r="G46" i="22" s="1"/>
  <c r="H46" i="22" s="1"/>
  <c r="I46" i="22" s="1"/>
  <c r="E176" i="29"/>
  <c r="C67" i="22"/>
  <c r="B42" i="85" s="1"/>
  <c r="C46" i="72"/>
  <c r="E148" i="72" s="1"/>
  <c r="C20" i="55"/>
  <c r="C77" i="55" s="1"/>
  <c r="C129" i="55" s="1"/>
  <c r="D114" i="53"/>
  <c r="E182" i="53" s="1"/>
  <c r="F132" i="53"/>
  <c r="F200" i="53"/>
  <c r="B96" i="72"/>
  <c r="B95" i="72"/>
  <c r="D252" i="53"/>
  <c r="D188" i="53"/>
  <c r="D14" i="72"/>
  <c r="D38" i="72" s="1"/>
  <c r="E68" i="81"/>
  <c r="E67" i="81"/>
  <c r="D13" i="72"/>
  <c r="D37" i="72" s="1"/>
  <c r="D76" i="81"/>
  <c r="E103" i="81"/>
  <c r="E20" i="53"/>
  <c r="E73" i="53" s="1"/>
  <c r="E45" i="81"/>
  <c r="E25" i="72" s="1"/>
  <c r="D71" i="55"/>
  <c r="D123" i="55" s="1"/>
  <c r="D51" i="81"/>
  <c r="D18" i="72"/>
  <c r="D42" i="72" s="1"/>
  <c r="E72" i="81"/>
  <c r="F94" i="81"/>
  <c r="F11" i="53"/>
  <c r="F64" i="53" s="1"/>
  <c r="D77" i="81"/>
  <c r="D13" i="84" s="1"/>
  <c r="C47" i="72"/>
  <c r="E110" i="81"/>
  <c r="E27" i="53"/>
  <c r="E80" i="53" s="1"/>
  <c r="D82" i="81"/>
  <c r="D54" i="81"/>
  <c r="C23" i="55"/>
  <c r="C80" i="55" s="1"/>
  <c r="C132" i="55" s="1"/>
  <c r="C71" i="72"/>
  <c r="C70" i="72"/>
  <c r="C68" i="55"/>
  <c r="C120" i="55" s="1"/>
  <c r="D79" i="81"/>
  <c r="C49" i="72"/>
  <c r="E112" i="81"/>
  <c r="E29" i="53"/>
  <c r="E82" i="53" s="1"/>
  <c r="E107" i="81"/>
  <c r="E24" i="53"/>
  <c r="E77" i="53" s="1"/>
  <c r="D246" i="53"/>
  <c r="D182" i="53"/>
  <c r="D57" i="81"/>
  <c r="C26" i="55"/>
  <c r="C83" i="55" s="1"/>
  <c r="C135" i="55" s="1"/>
  <c r="F203" i="53"/>
  <c r="F135" i="53"/>
  <c r="F136" i="53"/>
  <c r="F204" i="53"/>
  <c r="D59" i="81"/>
  <c r="C28" i="55"/>
  <c r="C85" i="55" s="1"/>
  <c r="C137" i="55" s="1"/>
  <c r="D53" i="81"/>
  <c r="C22" i="55"/>
  <c r="C79" i="55" s="1"/>
  <c r="C131" i="55" s="1"/>
  <c r="E211" i="53"/>
  <c r="E143" i="53"/>
  <c r="E49" i="81"/>
  <c r="D75" i="55"/>
  <c r="E140" i="53"/>
  <c r="E208" i="53"/>
  <c r="D84" i="81"/>
  <c r="C30" i="72"/>
  <c r="C54" i="72" s="1"/>
  <c r="F201" i="53"/>
  <c r="F133" i="53"/>
  <c r="E73" i="81"/>
  <c r="D19" i="72"/>
  <c r="D43" i="72" s="1"/>
  <c r="E70" i="81"/>
  <c r="D16" i="72"/>
  <c r="D40" i="72" s="1"/>
  <c r="E104" i="81"/>
  <c r="E21" i="53"/>
  <c r="E74" i="53" s="1"/>
  <c r="F99" i="81"/>
  <c r="F16" i="53"/>
  <c r="F69" i="53" s="1"/>
  <c r="D60" i="81"/>
  <c r="C29" i="55"/>
  <c r="C86" i="55" s="1"/>
  <c r="C138" i="55" s="1"/>
  <c r="E42" i="81"/>
  <c r="E22" i="72" s="1"/>
  <c r="F93" i="81"/>
  <c r="F10" i="53"/>
  <c r="F63" i="53" s="1"/>
  <c r="E69" i="81"/>
  <c r="D15" i="72"/>
  <c r="D39" i="72" s="1"/>
  <c r="E71" i="81"/>
  <c r="D17" i="72"/>
  <c r="D41" i="72" s="1"/>
  <c r="D118" i="53"/>
  <c r="E145" i="53"/>
  <c r="E213" i="53"/>
  <c r="E48" i="81"/>
  <c r="E17" i="55" s="1"/>
  <c r="D74" i="55"/>
  <c r="D126" i="55" s="1"/>
  <c r="D52" i="81"/>
  <c r="D183" i="53"/>
  <c r="D247" i="53"/>
  <c r="E214" i="53"/>
  <c r="E146" i="53"/>
  <c r="E111" i="81"/>
  <c r="E28" i="53"/>
  <c r="E81" i="53" s="1"/>
  <c r="F92" i="81"/>
  <c r="F9" i="53"/>
  <c r="F62" i="53" s="1"/>
  <c r="E74" i="81"/>
  <c r="E18" i="55" s="1"/>
  <c r="D20" i="72"/>
  <c r="D44" i="72" s="1"/>
  <c r="E207" i="53"/>
  <c r="E139" i="53"/>
  <c r="D56" i="81"/>
  <c r="C25" i="55"/>
  <c r="C82" i="55" s="1"/>
  <c r="C134" i="55" s="1"/>
  <c r="D248" i="53"/>
  <c r="D184" i="53"/>
  <c r="E25" i="53"/>
  <c r="E78" i="53" s="1"/>
  <c r="E108" i="81"/>
  <c r="E61" i="81"/>
  <c r="D30" i="55"/>
  <c r="D87" i="55" s="1"/>
  <c r="D139" i="55" s="1"/>
  <c r="D83" i="81"/>
  <c r="D55" i="81"/>
  <c r="C24" i="55"/>
  <c r="C81" i="55" s="1"/>
  <c r="C133" i="55" s="1"/>
  <c r="E149" i="53"/>
  <c r="E217" i="53"/>
  <c r="F95" i="81"/>
  <c r="F12" i="53"/>
  <c r="F65" i="53" s="1"/>
  <c r="E210" i="53"/>
  <c r="E142" i="53"/>
  <c r="F137" i="53"/>
  <c r="F205" i="53"/>
  <c r="F199" i="53"/>
  <c r="F131" i="53"/>
  <c r="E101" i="81"/>
  <c r="E18" i="53"/>
  <c r="E71" i="53" s="1"/>
  <c r="D116" i="53"/>
  <c r="F96" i="81"/>
  <c r="F13" i="53"/>
  <c r="F66" i="53" s="1"/>
  <c r="F97" i="81"/>
  <c r="F14" i="53"/>
  <c r="F67" i="53" s="1"/>
  <c r="F98" i="81"/>
  <c r="F15" i="53"/>
  <c r="F68" i="53" s="1"/>
  <c r="D80" i="81"/>
  <c r="C50" i="72"/>
  <c r="C62" i="72" s="1"/>
  <c r="D85" i="81"/>
  <c r="C31" i="72"/>
  <c r="C55" i="72" s="1"/>
  <c r="E105" i="81"/>
  <c r="E22" i="53"/>
  <c r="E75" i="53" s="1"/>
  <c r="E102" i="81"/>
  <c r="E19" i="53"/>
  <c r="E72" i="53" s="1"/>
  <c r="D81" i="81"/>
  <c r="C51" i="72"/>
  <c r="D187" i="53"/>
  <c r="D251" i="53"/>
  <c r="F198" i="53"/>
  <c r="F130" i="53"/>
  <c r="E141" i="53"/>
  <c r="E209" i="53"/>
  <c r="D58" i="81"/>
  <c r="C27" i="55"/>
  <c r="C84" i="55" s="1"/>
  <c r="C136" i="55" s="1"/>
  <c r="E44" i="81"/>
  <c r="D70" i="55"/>
  <c r="D122" i="55" s="1"/>
  <c r="E46" i="81"/>
  <c r="D72" i="55"/>
  <c r="D124" i="55" s="1"/>
  <c r="D115" i="53"/>
  <c r="E144" i="53"/>
  <c r="E212" i="53"/>
  <c r="E47" i="81"/>
  <c r="E27" i="72" s="1"/>
  <c r="D73" i="55"/>
  <c r="D125" i="55" s="1"/>
  <c r="C78" i="72"/>
  <c r="C79" i="72"/>
  <c r="E216" i="53"/>
  <c r="E148" i="53"/>
  <c r="D255" i="53"/>
  <c r="E75" i="81"/>
  <c r="D21" i="72"/>
  <c r="D45" i="72" s="1"/>
  <c r="D78" i="81"/>
  <c r="C48" i="72"/>
  <c r="C60" i="72" s="1"/>
  <c r="E150" i="53"/>
  <c r="E218" i="53"/>
  <c r="D119" i="53"/>
  <c r="B32" i="72"/>
  <c r="E50" i="81"/>
  <c r="D19" i="55"/>
  <c r="D76" i="55" s="1"/>
  <c r="D128" i="55" s="1"/>
  <c r="E43" i="81"/>
  <c r="E23" i="72" s="1"/>
  <c r="D69" i="55"/>
  <c r="D121" i="55" s="1"/>
  <c r="E106" i="81"/>
  <c r="E23" i="53"/>
  <c r="E76" i="53" s="1"/>
  <c r="F202" i="53"/>
  <c r="F134" i="53"/>
  <c r="D62" i="81"/>
  <c r="C31" i="55"/>
  <c r="C88" i="55" s="1"/>
  <c r="C140" i="55" s="1"/>
  <c r="D254" i="53"/>
  <c r="J191" i="55"/>
  <c r="E24" i="68"/>
  <c r="G155" i="29"/>
  <c r="E131" i="29"/>
  <c r="E161" i="29"/>
  <c r="E146" i="29"/>
  <c r="E36" i="85"/>
  <c r="F28" i="21"/>
  <c r="E36" i="21"/>
  <c r="I208" i="55"/>
  <c r="J203" i="55"/>
  <c r="L41" i="22"/>
  <c r="M38" i="22" s="1"/>
  <c r="M39" i="22" s="1"/>
  <c r="M41" i="22" s="1"/>
  <c r="N38" i="22" s="1"/>
  <c r="L40" i="22"/>
  <c r="F35" i="21"/>
  <c r="F35" i="85"/>
  <c r="F36" i="85" s="1"/>
  <c r="J24" i="22"/>
  <c r="K15" i="22"/>
  <c r="K16" i="22"/>
  <c r="K22" i="22"/>
  <c r="K9" i="22"/>
  <c r="K20" i="22"/>
  <c r="K14" i="22"/>
  <c r="K21" i="22"/>
  <c r="K19" i="22"/>
  <c r="K12" i="22"/>
  <c r="K17" i="22"/>
  <c r="K18" i="22"/>
  <c r="K13" i="22"/>
  <c r="K23" i="22"/>
  <c r="K11" i="22"/>
  <c r="K59" i="22"/>
  <c r="L56" i="22" s="1"/>
  <c r="L57" i="22" s="1"/>
  <c r="L59" i="22" s="1"/>
  <c r="M56" i="22" s="1"/>
  <c r="G170" i="29"/>
  <c r="D42" i="21"/>
  <c r="D42" i="85"/>
  <c r="D14" i="69"/>
  <c r="K67" i="22"/>
  <c r="C45" i="29" s="1"/>
  <c r="K52" i="22"/>
  <c r="L65" i="22"/>
  <c r="M62" i="22" s="1"/>
  <c r="E42" i="21"/>
  <c r="E14" i="69"/>
  <c r="E42" i="85"/>
  <c r="D50" i="22"/>
  <c r="C69" i="22"/>
  <c r="C42" i="21"/>
  <c r="C14" i="69"/>
  <c r="C42" i="85"/>
  <c r="G42" i="21"/>
  <c r="G14" i="69"/>
  <c r="G42" i="85"/>
  <c r="H42" i="21"/>
  <c r="H42" i="85"/>
  <c r="H14" i="69"/>
  <c r="D52" i="22"/>
  <c r="C68" i="22"/>
  <c r="F42" i="21"/>
  <c r="F42" i="85"/>
  <c r="F14" i="69"/>
  <c r="K53" i="22"/>
  <c r="G125" i="29"/>
  <c r="G35" i="29"/>
  <c r="F196" i="85"/>
  <c r="H21" i="21"/>
  <c r="K49" i="61"/>
  <c r="K53" i="48"/>
  <c r="H21" i="85"/>
  <c r="J53" i="48"/>
  <c r="J55" i="48" s="1"/>
  <c r="G21" i="85"/>
  <c r="G21" i="21"/>
  <c r="J49" i="61"/>
  <c r="K37" i="48"/>
  <c r="H31" i="21"/>
  <c r="H31" i="85"/>
  <c r="J36" i="61"/>
  <c r="G11" i="21"/>
  <c r="G11" i="85"/>
  <c r="F163" i="53" l="1"/>
  <c r="F231" i="53"/>
  <c r="F165" i="53"/>
  <c r="F233" i="53"/>
  <c r="I230" i="53"/>
  <c r="I162" i="53"/>
  <c r="F68" i="83"/>
  <c r="E57" i="55"/>
  <c r="E114" i="55" s="1"/>
  <c r="E166" i="55" s="1"/>
  <c r="I223" i="53"/>
  <c r="I155" i="53"/>
  <c r="D23" i="84"/>
  <c r="D54" i="84" s="1"/>
  <c r="E84" i="83"/>
  <c r="J230" i="53"/>
  <c r="J162" i="53"/>
  <c r="E83" i="83"/>
  <c r="D22" i="84"/>
  <c r="D53" i="84" s="1"/>
  <c r="E85" i="83"/>
  <c r="D24" i="84"/>
  <c r="D55" i="84" s="1"/>
  <c r="E90" i="83"/>
  <c r="D29" i="84"/>
  <c r="D60" i="84" s="1"/>
  <c r="H51" i="53"/>
  <c r="H104" i="53" s="1"/>
  <c r="I172" i="53" s="1"/>
  <c r="H120" i="83"/>
  <c r="I51" i="53" s="1"/>
  <c r="I104" i="53" s="1"/>
  <c r="J172" i="53" s="1"/>
  <c r="E89" i="83"/>
  <c r="D28" i="84"/>
  <c r="D59" i="84" s="1"/>
  <c r="F114" i="83"/>
  <c r="F45" i="53"/>
  <c r="F98" i="53" s="1"/>
  <c r="D92" i="55"/>
  <c r="D144" i="55" s="1"/>
  <c r="F167" i="53"/>
  <c r="F235" i="53"/>
  <c r="E126" i="84"/>
  <c r="E143" i="84" s="1"/>
  <c r="G156" i="84" s="1"/>
  <c r="G164" i="84"/>
  <c r="E124" i="84"/>
  <c r="E141" i="84" s="1"/>
  <c r="G167" i="84"/>
  <c r="E125" i="84"/>
  <c r="E142" i="84" s="1"/>
  <c r="D165" i="84"/>
  <c r="E18" i="61" s="1"/>
  <c r="B42" i="84"/>
  <c r="D155" i="84" s="1"/>
  <c r="D159" i="84" s="1"/>
  <c r="E33" i="84"/>
  <c r="F94" i="83"/>
  <c r="J155" i="53"/>
  <c r="J223" i="53"/>
  <c r="E15" i="84"/>
  <c r="E46" i="84" s="1"/>
  <c r="F76" i="83"/>
  <c r="G97" i="83"/>
  <c r="F36" i="84"/>
  <c r="F64" i="84" s="1"/>
  <c r="F113" i="83"/>
  <c r="F44" i="53"/>
  <c r="F97" i="53" s="1"/>
  <c r="E55" i="83"/>
  <c r="D44" i="55"/>
  <c r="D101" i="55" s="1"/>
  <c r="D153" i="55" s="1"/>
  <c r="C39" i="84"/>
  <c r="H54" i="83"/>
  <c r="H43" i="55" s="1"/>
  <c r="H100" i="55" s="1"/>
  <c r="H152" i="55" s="1"/>
  <c r="G43" i="55"/>
  <c r="G100" i="55" s="1"/>
  <c r="G152" i="55" s="1"/>
  <c r="G51" i="83"/>
  <c r="F40" i="55"/>
  <c r="F97" i="55" s="1"/>
  <c r="F149" i="55" s="1"/>
  <c r="E16" i="84"/>
  <c r="E47" i="84" s="1"/>
  <c r="F77" i="83"/>
  <c r="E86" i="83"/>
  <c r="D25" i="84"/>
  <c r="D56" i="84" s="1"/>
  <c r="F166" i="53"/>
  <c r="F234" i="53"/>
  <c r="F46" i="83"/>
  <c r="E35" i="55"/>
  <c r="F46" i="53"/>
  <c r="F99" i="53" s="1"/>
  <c r="F115" i="83"/>
  <c r="E59" i="83"/>
  <c r="D48" i="55"/>
  <c r="D105" i="55" s="1"/>
  <c r="D157" i="55" s="1"/>
  <c r="G95" i="83"/>
  <c r="F34" i="84"/>
  <c r="F62" i="84" s="1"/>
  <c r="E62" i="83"/>
  <c r="D51" i="55"/>
  <c r="D108" i="55" s="1"/>
  <c r="D160" i="55" s="1"/>
  <c r="F112" i="83"/>
  <c r="F43" i="53"/>
  <c r="F96" i="53" s="1"/>
  <c r="F93" i="83"/>
  <c r="E32" i="84"/>
  <c r="H226" i="53"/>
  <c r="H158" i="53"/>
  <c r="J178" i="53"/>
  <c r="J243" i="53"/>
  <c r="G92" i="83"/>
  <c r="G31" i="84" s="1"/>
  <c r="F31" i="84"/>
  <c r="F164" i="53"/>
  <c r="F232" i="53"/>
  <c r="H171" i="53"/>
  <c r="H239" i="53"/>
  <c r="G124" i="83"/>
  <c r="G55" i="53"/>
  <c r="G108" i="53" s="1"/>
  <c r="H159" i="53"/>
  <c r="H227" i="53"/>
  <c r="F96" i="83"/>
  <c r="E35" i="84"/>
  <c r="E63" i="84" s="1"/>
  <c r="H106" i="83"/>
  <c r="I37" i="53" s="1"/>
  <c r="I90" i="53" s="1"/>
  <c r="H37" i="53"/>
  <c r="H90" i="53" s="1"/>
  <c r="G33" i="53"/>
  <c r="G86" i="53" s="1"/>
  <c r="G102" i="83"/>
  <c r="H119" i="83"/>
  <c r="I50" i="53" s="1"/>
  <c r="I103" i="53" s="1"/>
  <c r="H50" i="53"/>
  <c r="H103" i="53" s="1"/>
  <c r="I178" i="53"/>
  <c r="I243" i="53"/>
  <c r="G241" i="53"/>
  <c r="G176" i="53"/>
  <c r="G50" i="83"/>
  <c r="F39" i="55"/>
  <c r="F96" i="55" s="1"/>
  <c r="F148" i="55" s="1"/>
  <c r="H107" i="83"/>
  <c r="I38" i="53" s="1"/>
  <c r="I91" i="53" s="1"/>
  <c r="H38" i="53"/>
  <c r="H91" i="53" s="1"/>
  <c r="E56" i="83"/>
  <c r="D45" i="55"/>
  <c r="D102" i="55" s="1"/>
  <c r="D154" i="55" s="1"/>
  <c r="G104" i="83"/>
  <c r="G35" i="53"/>
  <c r="G88" i="53" s="1"/>
  <c r="H242" i="53"/>
  <c r="H177" i="53"/>
  <c r="F236" i="53"/>
  <c r="F168" i="53"/>
  <c r="F237" i="53"/>
  <c r="F169" i="53"/>
  <c r="E58" i="83"/>
  <c r="D47" i="55"/>
  <c r="D104" i="55" s="1"/>
  <c r="D156" i="55" s="1"/>
  <c r="G78" i="83"/>
  <c r="F17" i="84"/>
  <c r="F48" i="84" s="1"/>
  <c r="F111" i="83"/>
  <c r="F42" i="53"/>
  <c r="F95" i="53" s="1"/>
  <c r="F116" i="83"/>
  <c r="F47" i="53"/>
  <c r="F100" i="53" s="1"/>
  <c r="H75" i="83"/>
  <c r="H14" i="84" s="1"/>
  <c r="H45" i="84" s="1"/>
  <c r="G14" i="84"/>
  <c r="G45" i="84" s="1"/>
  <c r="F49" i="83"/>
  <c r="E38" i="55"/>
  <c r="E95" i="55" s="1"/>
  <c r="E147" i="55" s="1"/>
  <c r="E57" i="83"/>
  <c r="D46" i="55"/>
  <c r="D103" i="55" s="1"/>
  <c r="D155" i="55" s="1"/>
  <c r="F48" i="53"/>
  <c r="F101" i="53" s="1"/>
  <c r="F117" i="83"/>
  <c r="G154" i="53"/>
  <c r="G222" i="53"/>
  <c r="G156" i="53"/>
  <c r="G224" i="53"/>
  <c r="G91" i="83"/>
  <c r="F30" i="84"/>
  <c r="F61" i="84" s="1"/>
  <c r="H125" i="83"/>
  <c r="I56" i="53" s="1"/>
  <c r="I109" i="53" s="1"/>
  <c r="H56" i="53"/>
  <c r="H109" i="53" s="1"/>
  <c r="G36" i="53"/>
  <c r="G89" i="53" s="1"/>
  <c r="G105" i="83"/>
  <c r="E37" i="55"/>
  <c r="E94" i="55" s="1"/>
  <c r="E146" i="55" s="1"/>
  <c r="F48" i="83"/>
  <c r="E61" i="83"/>
  <c r="D50" i="55"/>
  <c r="D107" i="55" s="1"/>
  <c r="D159" i="55" s="1"/>
  <c r="G122" i="83"/>
  <c r="G53" i="53"/>
  <c r="G106" i="53" s="1"/>
  <c r="H174" i="53" s="1"/>
  <c r="G121" i="83"/>
  <c r="G52" i="53"/>
  <c r="G105" i="53" s="1"/>
  <c r="H173" i="53" s="1"/>
  <c r="G67" i="83"/>
  <c r="F56" i="55"/>
  <c r="F113" i="55" s="1"/>
  <c r="F165" i="55" s="1"/>
  <c r="G63" i="83"/>
  <c r="F52" i="55"/>
  <c r="F109" i="55" s="1"/>
  <c r="F161" i="55" s="1"/>
  <c r="J161" i="53"/>
  <c r="J229" i="53"/>
  <c r="G20" i="84"/>
  <c r="G51" i="84" s="1"/>
  <c r="H81" i="83"/>
  <c r="H20" i="84" s="1"/>
  <c r="H51" i="84" s="1"/>
  <c r="F238" i="53"/>
  <c r="F170" i="53"/>
  <c r="G39" i="53"/>
  <c r="G92" i="53" s="1"/>
  <c r="G108" i="83"/>
  <c r="G79" i="83"/>
  <c r="F18" i="84"/>
  <c r="F49" i="84" s="1"/>
  <c r="H54" i="53"/>
  <c r="H107" i="53" s="1"/>
  <c r="H123" i="83"/>
  <c r="I54" i="53" s="1"/>
  <c r="I107" i="53" s="1"/>
  <c r="C61" i="55"/>
  <c r="H33" i="21"/>
  <c r="H33" i="85"/>
  <c r="G225" i="53"/>
  <c r="G157" i="53"/>
  <c r="I229" i="53"/>
  <c r="I161" i="53"/>
  <c r="E87" i="83"/>
  <c r="D26" i="84"/>
  <c r="D57" i="84" s="1"/>
  <c r="F49" i="53"/>
  <c r="F102" i="53" s="1"/>
  <c r="F118" i="83"/>
  <c r="F52" i="83"/>
  <c r="E41" i="55"/>
  <c r="E98" i="55" s="1"/>
  <c r="E150" i="55" s="1"/>
  <c r="G228" i="53"/>
  <c r="G160" i="53"/>
  <c r="G69" i="83"/>
  <c r="F58" i="55"/>
  <c r="F115" i="55" s="1"/>
  <c r="F167" i="55" s="1"/>
  <c r="H240" i="53"/>
  <c r="H175" i="53"/>
  <c r="E60" i="83"/>
  <c r="D49" i="55"/>
  <c r="D106" i="55" s="1"/>
  <c r="D158" i="55" s="1"/>
  <c r="F80" i="83"/>
  <c r="E19" i="84"/>
  <c r="E50" i="84" s="1"/>
  <c r="G42" i="55"/>
  <c r="G99" i="55" s="1"/>
  <c r="G151" i="55" s="1"/>
  <c r="H53" i="83"/>
  <c r="H42" i="55" s="1"/>
  <c r="H99" i="55" s="1"/>
  <c r="H151" i="55" s="1"/>
  <c r="D27" i="84"/>
  <c r="D58" i="84" s="1"/>
  <c r="E88" i="83"/>
  <c r="D155" i="72"/>
  <c r="D28" i="72"/>
  <c r="E26" i="72"/>
  <c r="E24" i="72"/>
  <c r="D29" i="72"/>
  <c r="D21" i="55"/>
  <c r="H29" i="85"/>
  <c r="E163" i="84"/>
  <c r="C67" i="84"/>
  <c r="E194" i="55"/>
  <c r="E195" i="55"/>
  <c r="D44" i="84"/>
  <c r="D181" i="55"/>
  <c r="D195" i="55"/>
  <c r="D187" i="55"/>
  <c r="C42" i="84"/>
  <c r="E155" i="84" s="1"/>
  <c r="D156" i="72"/>
  <c r="D138" i="72"/>
  <c r="C64" i="72"/>
  <c r="C59" i="72"/>
  <c r="E139" i="72" s="1"/>
  <c r="E149" i="72"/>
  <c r="E142" i="72"/>
  <c r="E152" i="72"/>
  <c r="C61" i="72"/>
  <c r="E140" i="72" s="1"/>
  <c r="E150" i="72"/>
  <c r="C63" i="72"/>
  <c r="E141" i="72" s="1"/>
  <c r="E151" i="72"/>
  <c r="C91" i="72"/>
  <c r="C58" i="72"/>
  <c r="D127" i="55"/>
  <c r="F180" i="55" s="1"/>
  <c r="F188" i="55"/>
  <c r="D192" i="55"/>
  <c r="E181" i="55"/>
  <c r="E255" i="53"/>
  <c r="B14" i="69"/>
  <c r="B15" i="69" s="1"/>
  <c r="B42" i="21"/>
  <c r="F131" i="29"/>
  <c r="E187" i="55"/>
  <c r="E192" i="55"/>
  <c r="D46" i="72"/>
  <c r="F148" i="72" s="1"/>
  <c r="D20" i="55"/>
  <c r="E115" i="53"/>
  <c r="F247" i="53" s="1"/>
  <c r="E114" i="53"/>
  <c r="F246" i="53" s="1"/>
  <c r="E15" i="61"/>
  <c r="F6" i="61" s="1"/>
  <c r="E260" i="53" s="1"/>
  <c r="E246" i="53"/>
  <c r="E48" i="61"/>
  <c r="D191" i="53"/>
  <c r="B12" i="85" s="1"/>
  <c r="B197" i="85" s="1"/>
  <c r="C32" i="72"/>
  <c r="C35" i="72" s="1"/>
  <c r="E143" i="72" s="1"/>
  <c r="G204" i="53"/>
  <c r="G136" i="53"/>
  <c r="F146" i="53"/>
  <c r="F214" i="53"/>
  <c r="B65" i="55"/>
  <c r="B10" i="55"/>
  <c r="G10" i="53"/>
  <c r="G63" i="53" s="1"/>
  <c r="G93" i="81"/>
  <c r="F73" i="81"/>
  <c r="E19" i="72"/>
  <c r="E43" i="72" s="1"/>
  <c r="D30" i="72"/>
  <c r="D54" i="72" s="1"/>
  <c r="E84" i="81"/>
  <c r="E53" i="81"/>
  <c r="D22" i="55"/>
  <c r="D79" i="55" s="1"/>
  <c r="D131" i="55" s="1"/>
  <c r="E57" i="81"/>
  <c r="D26" i="55"/>
  <c r="D83" i="55" s="1"/>
  <c r="D135" i="55" s="1"/>
  <c r="E79" i="81"/>
  <c r="D49" i="72"/>
  <c r="E82" i="81"/>
  <c r="D52" i="72"/>
  <c r="E77" i="81"/>
  <c r="E13" i="84" s="1"/>
  <c r="D47" i="72"/>
  <c r="F45" i="81"/>
  <c r="F25" i="72" s="1"/>
  <c r="E71" i="55"/>
  <c r="E123" i="55" s="1"/>
  <c r="F212" i="53"/>
  <c r="F144" i="53"/>
  <c r="F46" i="81"/>
  <c r="E72" i="55"/>
  <c r="E124" i="55" s="1"/>
  <c r="E58" i="81"/>
  <c r="D27" i="55"/>
  <c r="D84" i="55" s="1"/>
  <c r="D136" i="55" s="1"/>
  <c r="E116" i="53"/>
  <c r="E85" i="81"/>
  <c r="D31" i="72"/>
  <c r="D55" i="72" s="1"/>
  <c r="G98" i="81"/>
  <c r="G15" i="53"/>
  <c r="G68" i="53" s="1"/>
  <c r="G96" i="81"/>
  <c r="G13" i="53"/>
  <c r="G66" i="53" s="1"/>
  <c r="G201" i="53"/>
  <c r="G133" i="53"/>
  <c r="F74" i="81"/>
  <c r="F18" i="55" s="1"/>
  <c r="E20" i="72"/>
  <c r="E44" i="72" s="1"/>
  <c r="F111" i="81"/>
  <c r="F28" i="53"/>
  <c r="F81" i="53" s="1"/>
  <c r="E251" i="53"/>
  <c r="E187" i="53"/>
  <c r="D68" i="55"/>
  <c r="D120" i="55" s="1"/>
  <c r="G137" i="53"/>
  <c r="G205" i="53"/>
  <c r="D71" i="72"/>
  <c r="D70" i="72"/>
  <c r="F150" i="53"/>
  <c r="F218" i="53"/>
  <c r="C33" i="55"/>
  <c r="F216" i="53"/>
  <c r="F148" i="53"/>
  <c r="G200" i="53"/>
  <c r="G132" i="53"/>
  <c r="F141" i="53"/>
  <c r="F209" i="53"/>
  <c r="F101" i="81"/>
  <c r="F18" i="53"/>
  <c r="F71" i="53" s="1"/>
  <c r="E83" i="81"/>
  <c r="D53" i="72"/>
  <c r="D65" i="72" s="1"/>
  <c r="F217" i="53"/>
  <c r="F149" i="53"/>
  <c r="F71" i="81"/>
  <c r="E17" i="72"/>
  <c r="E41" i="72" s="1"/>
  <c r="F104" i="81"/>
  <c r="F21" i="53"/>
  <c r="F74" i="53" s="1"/>
  <c r="F107" i="81"/>
  <c r="F24" i="53"/>
  <c r="F77" i="53" s="1"/>
  <c r="D79" i="72"/>
  <c r="D78" i="72"/>
  <c r="E76" i="81"/>
  <c r="E62" i="81"/>
  <c r="D31" i="55"/>
  <c r="D88" i="55" s="1"/>
  <c r="D140" i="55" s="1"/>
  <c r="F106" i="81"/>
  <c r="F23" i="53"/>
  <c r="F76" i="53" s="1"/>
  <c r="F50" i="81"/>
  <c r="E19" i="55"/>
  <c r="E76" i="55" s="1"/>
  <c r="E128" i="55" s="1"/>
  <c r="E252" i="53"/>
  <c r="E188" i="53"/>
  <c r="E78" i="81"/>
  <c r="D48" i="72"/>
  <c r="D60" i="72" s="1"/>
  <c r="E81" i="81"/>
  <c r="D51" i="72"/>
  <c r="F211" i="53"/>
  <c r="F143" i="53"/>
  <c r="G203" i="53"/>
  <c r="G135" i="53"/>
  <c r="E184" i="53"/>
  <c r="E248" i="53"/>
  <c r="G95" i="81"/>
  <c r="G12" i="53"/>
  <c r="G65" i="53" s="1"/>
  <c r="E55" i="81"/>
  <c r="D24" i="55"/>
  <c r="D81" i="55" s="1"/>
  <c r="D133" i="55" s="1"/>
  <c r="F61" i="81"/>
  <c r="E30" i="55"/>
  <c r="E87" i="55" s="1"/>
  <c r="E139" i="55" s="1"/>
  <c r="G198" i="53"/>
  <c r="G130" i="53"/>
  <c r="F48" i="81"/>
  <c r="F17" i="55" s="1"/>
  <c r="E74" i="55"/>
  <c r="E126" i="55" s="1"/>
  <c r="F69" i="81"/>
  <c r="E15" i="72"/>
  <c r="E39" i="72" s="1"/>
  <c r="F42" i="81"/>
  <c r="F22" i="72" s="1"/>
  <c r="G99" i="81"/>
  <c r="G16" i="53"/>
  <c r="G69" i="53" s="1"/>
  <c r="F70" i="81"/>
  <c r="E16" i="72"/>
  <c r="E40" i="72" s="1"/>
  <c r="E59" i="81"/>
  <c r="D28" i="55"/>
  <c r="D85" i="55" s="1"/>
  <c r="D137" i="55" s="1"/>
  <c r="F29" i="53"/>
  <c r="F82" i="53" s="1"/>
  <c r="F112" i="81"/>
  <c r="E54" i="81"/>
  <c r="D23" i="55"/>
  <c r="D80" i="55" s="1"/>
  <c r="D132" i="55" s="1"/>
  <c r="F27" i="53"/>
  <c r="F80" i="53" s="1"/>
  <c r="F110" i="81"/>
  <c r="G94" i="81"/>
  <c r="G11" i="53"/>
  <c r="G64" i="53" s="1"/>
  <c r="E51" i="81"/>
  <c r="D77" i="55"/>
  <c r="D129" i="55" s="1"/>
  <c r="F20" i="53"/>
  <c r="F73" i="53" s="1"/>
  <c r="F103" i="81"/>
  <c r="F67" i="81"/>
  <c r="E13" i="72"/>
  <c r="E37" i="72" s="1"/>
  <c r="F43" i="81"/>
  <c r="F23" i="72" s="1"/>
  <c r="E69" i="55"/>
  <c r="E121" i="55" s="1"/>
  <c r="F75" i="81"/>
  <c r="E21" i="72"/>
  <c r="E45" i="72" s="1"/>
  <c r="F102" i="81"/>
  <c r="F19" i="53"/>
  <c r="F72" i="53" s="1"/>
  <c r="G202" i="53"/>
  <c r="G134" i="53"/>
  <c r="E56" i="81"/>
  <c r="D25" i="55"/>
  <c r="D82" i="55" s="1"/>
  <c r="D134" i="55" s="1"/>
  <c r="E60" i="81"/>
  <c r="D29" i="55"/>
  <c r="D86" i="55" s="1"/>
  <c r="D138" i="55" s="1"/>
  <c r="F49" i="81"/>
  <c r="E75" i="55"/>
  <c r="B12" i="72"/>
  <c r="B35" i="72"/>
  <c r="D143" i="72" s="1"/>
  <c r="F47" i="81"/>
  <c r="F27" i="72" s="1"/>
  <c r="E73" i="55"/>
  <c r="E125" i="55" s="1"/>
  <c r="E247" i="53"/>
  <c r="E183" i="53"/>
  <c r="F44" i="81"/>
  <c r="E70" i="55"/>
  <c r="E122" i="55" s="1"/>
  <c r="E119" i="53"/>
  <c r="E118" i="53"/>
  <c r="F208" i="53"/>
  <c r="F140" i="53"/>
  <c r="F22" i="53"/>
  <c r="F75" i="53" s="1"/>
  <c r="F105" i="81"/>
  <c r="D50" i="72"/>
  <c r="D62" i="72" s="1"/>
  <c r="E80" i="81"/>
  <c r="G97" i="81"/>
  <c r="G14" i="53"/>
  <c r="G67" i="53" s="1"/>
  <c r="F207" i="53"/>
  <c r="F139" i="53"/>
  <c r="F25" i="53"/>
  <c r="F78" i="53" s="1"/>
  <c r="F108" i="81"/>
  <c r="G92" i="81"/>
  <c r="G9" i="53"/>
  <c r="G62" i="53" s="1"/>
  <c r="E52" i="81"/>
  <c r="D78" i="55"/>
  <c r="D130" i="55" s="1"/>
  <c r="G199" i="53"/>
  <c r="G131" i="53"/>
  <c r="F210" i="53"/>
  <c r="F142" i="53"/>
  <c r="F145" i="53"/>
  <c r="F213" i="53"/>
  <c r="C96" i="72"/>
  <c r="C95" i="72"/>
  <c r="F72" i="81"/>
  <c r="E18" i="72"/>
  <c r="E42" i="72" s="1"/>
  <c r="F68" i="81"/>
  <c r="E14" i="72"/>
  <c r="E38" i="72" s="1"/>
  <c r="E254" i="53"/>
  <c r="F36" i="21"/>
  <c r="F161" i="29"/>
  <c r="F176" i="29"/>
  <c r="F146" i="29"/>
  <c r="F24" i="68"/>
  <c r="J208" i="55"/>
  <c r="G28" i="21"/>
  <c r="G28" i="85"/>
  <c r="L58" i="22"/>
  <c r="M40" i="22"/>
  <c r="K24" i="22"/>
  <c r="G35" i="21"/>
  <c r="G35" i="85"/>
  <c r="N39" i="22"/>
  <c r="N41" i="22" s="1"/>
  <c r="O38" i="22" s="1"/>
  <c r="M57" i="22"/>
  <c r="H221" i="85"/>
  <c r="I172" i="85"/>
  <c r="H271" i="85"/>
  <c r="I257" i="85"/>
  <c r="H58" i="85"/>
  <c r="F97" i="22"/>
  <c r="H11" i="29"/>
  <c r="G60" i="29"/>
  <c r="H96" i="29"/>
  <c r="E52" i="22"/>
  <c r="D68" i="22"/>
  <c r="C271" i="85"/>
  <c r="C58" i="85"/>
  <c r="D257" i="85"/>
  <c r="C221" i="85"/>
  <c r="D172" i="85"/>
  <c r="C206" i="85"/>
  <c r="D66" i="22"/>
  <c r="C13" i="69" s="1"/>
  <c r="C15" i="69" s="1"/>
  <c r="D53" i="22"/>
  <c r="E97" i="22"/>
  <c r="F60" i="29"/>
  <c r="G96" i="29"/>
  <c r="G11" i="29"/>
  <c r="K68" i="22"/>
  <c r="B271" i="85"/>
  <c r="B58" i="85"/>
  <c r="B221" i="85"/>
  <c r="C172" i="85"/>
  <c r="C257" i="85"/>
  <c r="B206" i="85"/>
  <c r="L47" i="22"/>
  <c r="M44" i="22" s="1"/>
  <c r="I60" i="29"/>
  <c r="H97" i="22"/>
  <c r="J96" i="29"/>
  <c r="J11" i="29"/>
  <c r="C97" i="22"/>
  <c r="E96" i="29"/>
  <c r="E11" i="29"/>
  <c r="D60" i="29"/>
  <c r="B98" i="22"/>
  <c r="B59" i="85"/>
  <c r="D271" i="85"/>
  <c r="D58" i="85"/>
  <c r="D221" i="85"/>
  <c r="E172" i="85"/>
  <c r="E257" i="85"/>
  <c r="D206" i="85"/>
  <c r="G271" i="85"/>
  <c r="G221" i="85"/>
  <c r="H257" i="85"/>
  <c r="G58" i="85"/>
  <c r="H172" i="85"/>
  <c r="L50" i="22"/>
  <c r="K69" i="22"/>
  <c r="F271" i="85"/>
  <c r="F58" i="85"/>
  <c r="F221" i="85"/>
  <c r="G172" i="85"/>
  <c r="G257" i="85"/>
  <c r="F206" i="85"/>
  <c r="G97" i="22"/>
  <c r="I11" i="29"/>
  <c r="I96" i="29"/>
  <c r="H60" i="29"/>
  <c r="E271" i="85"/>
  <c r="E58" i="85"/>
  <c r="F257" i="85"/>
  <c r="E221" i="85"/>
  <c r="F172" i="85"/>
  <c r="E206" i="85"/>
  <c r="M63" i="22"/>
  <c r="M64" i="22" s="1"/>
  <c r="D97" i="22"/>
  <c r="F11" i="29"/>
  <c r="E60" i="29"/>
  <c r="F96" i="29"/>
  <c r="G196" i="85"/>
  <c r="H155" i="29"/>
  <c r="H125" i="29"/>
  <c r="H170" i="29"/>
  <c r="H35" i="29"/>
  <c r="H140" i="29"/>
  <c r="H11" i="85"/>
  <c r="H11" i="21"/>
  <c r="K36" i="61"/>
  <c r="K55" i="48"/>
  <c r="H69" i="83" l="1"/>
  <c r="H58" i="55" s="1"/>
  <c r="H115" i="55" s="1"/>
  <c r="H167" i="55" s="1"/>
  <c r="G58" i="55"/>
  <c r="G115" i="55" s="1"/>
  <c r="G167" i="55" s="1"/>
  <c r="G231" i="53"/>
  <c r="G163" i="53"/>
  <c r="H224" i="53"/>
  <c r="H156" i="53"/>
  <c r="I171" i="53"/>
  <c r="I239" i="53"/>
  <c r="G232" i="53"/>
  <c r="G164" i="53"/>
  <c r="E44" i="55"/>
  <c r="E101" i="55" s="1"/>
  <c r="E153" i="55" s="1"/>
  <c r="F55" i="83"/>
  <c r="F9" i="61"/>
  <c r="E174" i="84" s="1"/>
  <c r="D175" i="84"/>
  <c r="D177" i="84" s="1"/>
  <c r="F84" i="83"/>
  <c r="E23" i="84"/>
  <c r="E54" i="84" s="1"/>
  <c r="D39" i="84"/>
  <c r="F88" i="83"/>
  <c r="E27" i="84"/>
  <c r="E58" i="84" s="1"/>
  <c r="E50" i="55"/>
  <c r="E107" i="55" s="1"/>
  <c r="E159" i="55" s="1"/>
  <c r="F61" i="83"/>
  <c r="G42" i="53"/>
  <c r="G95" i="53" s="1"/>
  <c r="G111" i="83"/>
  <c r="H35" i="53"/>
  <c r="H88" i="53" s="1"/>
  <c r="H104" i="83"/>
  <c r="I35" i="53" s="1"/>
  <c r="I88" i="53" s="1"/>
  <c r="J171" i="53"/>
  <c r="J239" i="53"/>
  <c r="G112" i="83"/>
  <c r="G43" i="53"/>
  <c r="G96" i="53" s="1"/>
  <c r="G233" i="53"/>
  <c r="G165" i="53"/>
  <c r="F89" i="83"/>
  <c r="E28" i="84"/>
  <c r="E59" i="84" s="1"/>
  <c r="G48" i="83"/>
  <c r="F37" i="55"/>
  <c r="F94" i="55" s="1"/>
  <c r="F146" i="55" s="1"/>
  <c r="G48" i="53"/>
  <c r="G101" i="53" s="1"/>
  <c r="G117" i="83"/>
  <c r="H33" i="53"/>
  <c r="H86" i="53" s="1"/>
  <c r="H102" i="83"/>
  <c r="I33" i="53" s="1"/>
  <c r="I86" i="53" s="1"/>
  <c r="G113" i="83"/>
  <c r="G44" i="53"/>
  <c r="G97" i="53" s="1"/>
  <c r="G237" i="53"/>
  <c r="G169" i="53"/>
  <c r="H78" i="83"/>
  <c r="H17" i="84" s="1"/>
  <c r="H48" i="84" s="1"/>
  <c r="G17" i="84"/>
  <c r="G48" i="84" s="1"/>
  <c r="F56" i="83"/>
  <c r="E45" i="55"/>
  <c r="E102" i="55" s="1"/>
  <c r="E154" i="55" s="1"/>
  <c r="H222" i="53"/>
  <c r="H154" i="53"/>
  <c r="F62" i="83"/>
  <c r="E51" i="55"/>
  <c r="E108" i="55" s="1"/>
  <c r="E160" i="55" s="1"/>
  <c r="F86" i="83"/>
  <c r="E25" i="84"/>
  <c r="E56" i="84" s="1"/>
  <c r="H36" i="53"/>
  <c r="H89" i="53" s="1"/>
  <c r="H105" i="83"/>
  <c r="I36" i="53" s="1"/>
  <c r="I89" i="53" s="1"/>
  <c r="I227" i="53"/>
  <c r="I159" i="53"/>
  <c r="I226" i="53"/>
  <c r="I158" i="53"/>
  <c r="H167" i="84"/>
  <c r="F126" i="84"/>
  <c r="F143" i="84" s="1"/>
  <c r="H156" i="84" s="1"/>
  <c r="F124" i="84"/>
  <c r="F141" i="84" s="1"/>
  <c r="F125" i="84"/>
  <c r="F142" i="84" s="1"/>
  <c r="H164" i="84"/>
  <c r="G77" i="83"/>
  <c r="F16" i="84"/>
  <c r="F47" i="84" s="1"/>
  <c r="H97" i="83"/>
  <c r="H36" i="84" s="1"/>
  <c r="H64" i="84" s="1"/>
  <c r="G36" i="84"/>
  <c r="G64" i="84" s="1"/>
  <c r="G118" i="83"/>
  <c r="G49" i="53"/>
  <c r="G102" i="53" s="1"/>
  <c r="I175" i="53"/>
  <c r="I240" i="53"/>
  <c r="H63" i="83"/>
  <c r="H52" i="55" s="1"/>
  <c r="H109" i="55" s="1"/>
  <c r="H161" i="55" s="1"/>
  <c r="G52" i="55"/>
  <c r="G109" i="55" s="1"/>
  <c r="G161" i="55" s="1"/>
  <c r="H225" i="53"/>
  <c r="H157" i="53"/>
  <c r="F57" i="83"/>
  <c r="E46" i="55"/>
  <c r="E103" i="55" s="1"/>
  <c r="E155" i="55" s="1"/>
  <c r="F58" i="83"/>
  <c r="E47" i="55"/>
  <c r="E104" i="55" s="1"/>
  <c r="E156" i="55" s="1"/>
  <c r="J227" i="53"/>
  <c r="J159" i="53"/>
  <c r="J158" i="53"/>
  <c r="J226" i="53"/>
  <c r="H95" i="83"/>
  <c r="H34" i="84" s="1"/>
  <c r="H62" i="84" s="1"/>
  <c r="G34" i="84"/>
  <c r="G62" i="84" s="1"/>
  <c r="F15" i="84"/>
  <c r="F46" i="84" s="1"/>
  <c r="G76" i="83"/>
  <c r="F90" i="83"/>
  <c r="E29" i="84"/>
  <c r="E60" i="84" s="1"/>
  <c r="G68" i="83"/>
  <c r="F57" i="55"/>
  <c r="F114" i="55" s="1"/>
  <c r="F166" i="55" s="1"/>
  <c r="G52" i="83"/>
  <c r="F41" i="55"/>
  <c r="F98" i="55" s="1"/>
  <c r="F150" i="55" s="1"/>
  <c r="G80" i="83"/>
  <c r="F19" i="84"/>
  <c r="F50" i="84" s="1"/>
  <c r="G170" i="53"/>
  <c r="G238" i="53"/>
  <c r="I242" i="53"/>
  <c r="I177" i="53"/>
  <c r="G18" i="84"/>
  <c r="G49" i="84" s="1"/>
  <c r="H79" i="83"/>
  <c r="H18" i="84" s="1"/>
  <c r="H49" i="84" s="1"/>
  <c r="H67" i="83"/>
  <c r="H56" i="55" s="1"/>
  <c r="H113" i="55" s="1"/>
  <c r="H165" i="55" s="1"/>
  <c r="G56" i="55"/>
  <c r="G113" i="55" s="1"/>
  <c r="G165" i="55" s="1"/>
  <c r="J242" i="53"/>
  <c r="J177" i="53"/>
  <c r="G49" i="83"/>
  <c r="F38" i="55"/>
  <c r="F95" i="55" s="1"/>
  <c r="F147" i="55" s="1"/>
  <c r="G39" i="55"/>
  <c r="G96" i="55" s="1"/>
  <c r="G148" i="55" s="1"/>
  <c r="H50" i="83"/>
  <c r="H39" i="55" s="1"/>
  <c r="H96" i="55" s="1"/>
  <c r="H148" i="55" s="1"/>
  <c r="F35" i="84"/>
  <c r="F63" i="84" s="1"/>
  <c r="G96" i="83"/>
  <c r="E48" i="55"/>
  <c r="E105" i="55" s="1"/>
  <c r="E157" i="55" s="1"/>
  <c r="F59" i="83"/>
  <c r="H51" i="83"/>
  <c r="H40" i="55" s="1"/>
  <c r="H97" i="55" s="1"/>
  <c r="H149" i="55" s="1"/>
  <c r="G40" i="55"/>
  <c r="G97" i="55" s="1"/>
  <c r="G149" i="55" s="1"/>
  <c r="F85" i="83"/>
  <c r="E24" i="84"/>
  <c r="E55" i="84" s="1"/>
  <c r="E49" i="55"/>
  <c r="E106" i="55" s="1"/>
  <c r="E158" i="55" s="1"/>
  <c r="F60" i="83"/>
  <c r="F87" i="83"/>
  <c r="E26" i="84"/>
  <c r="E57" i="84" s="1"/>
  <c r="H39" i="53"/>
  <c r="H92" i="53" s="1"/>
  <c r="H108" i="83"/>
  <c r="I39" i="53" s="1"/>
  <c r="I92" i="53" s="1"/>
  <c r="G115" i="83"/>
  <c r="G46" i="53"/>
  <c r="G99" i="53" s="1"/>
  <c r="D61" i="55"/>
  <c r="J240" i="53"/>
  <c r="J175" i="53"/>
  <c r="H228" i="53"/>
  <c r="H160" i="53"/>
  <c r="H52" i="53"/>
  <c r="H105" i="53" s="1"/>
  <c r="I173" i="53" s="1"/>
  <c r="H121" i="83"/>
  <c r="I52" i="53" s="1"/>
  <c r="I105" i="53" s="1"/>
  <c r="G30" i="84"/>
  <c r="G61" i="84" s="1"/>
  <c r="H91" i="83"/>
  <c r="H30" i="84" s="1"/>
  <c r="H61" i="84" s="1"/>
  <c r="G167" i="53"/>
  <c r="G235" i="53"/>
  <c r="G94" i="83"/>
  <c r="G33" i="84" s="1"/>
  <c r="F33" i="84"/>
  <c r="F83" i="83"/>
  <c r="E22" i="84"/>
  <c r="E53" i="84" s="1"/>
  <c r="G168" i="53"/>
  <c r="G236" i="53"/>
  <c r="H241" i="53"/>
  <c r="H176" i="53"/>
  <c r="E92" i="55"/>
  <c r="E144" i="55" s="1"/>
  <c r="G234" i="53"/>
  <c r="G166" i="53"/>
  <c r="H122" i="83"/>
  <c r="I53" i="53" s="1"/>
  <c r="I106" i="53" s="1"/>
  <c r="H53" i="53"/>
  <c r="H106" i="53" s="1"/>
  <c r="I174" i="53" s="1"/>
  <c r="G116" i="83"/>
  <c r="G47" i="53"/>
  <c r="G100" i="53" s="1"/>
  <c r="H124" i="83"/>
  <c r="I55" i="53" s="1"/>
  <c r="I108" i="53" s="1"/>
  <c r="H55" i="53"/>
  <c r="H108" i="53" s="1"/>
  <c r="G93" i="83"/>
  <c r="G32" i="84" s="1"/>
  <c r="F32" i="84"/>
  <c r="G46" i="83"/>
  <c r="F35" i="55"/>
  <c r="B13" i="85"/>
  <c r="B198" i="85" s="1"/>
  <c r="E40" i="61"/>
  <c r="B13" i="21"/>
  <c r="G45" i="53"/>
  <c r="G98" i="53" s="1"/>
  <c r="G114" i="83"/>
  <c r="K195" i="55"/>
  <c r="D11" i="29"/>
  <c r="C60" i="29"/>
  <c r="D96" i="29"/>
  <c r="B97" i="22"/>
  <c r="E28" i="72"/>
  <c r="F26" i="72"/>
  <c r="F24" i="72"/>
  <c r="E29" i="72"/>
  <c r="E53" i="72" s="1"/>
  <c r="E65" i="72" s="1"/>
  <c r="E21" i="55"/>
  <c r="E78" i="55" s="1"/>
  <c r="E130" i="55" s="1"/>
  <c r="F163" i="84"/>
  <c r="D67" i="84"/>
  <c r="E168" i="84"/>
  <c r="E169" i="84"/>
  <c r="E154" i="84"/>
  <c r="E159" i="84" s="1"/>
  <c r="D42" i="84"/>
  <c r="F155" i="84" s="1"/>
  <c r="F181" i="55"/>
  <c r="F194" i="55"/>
  <c r="F195" i="55"/>
  <c r="E44" i="84"/>
  <c r="E165" i="84"/>
  <c r="E166" i="84"/>
  <c r="D144" i="72"/>
  <c r="B9" i="21" s="1"/>
  <c r="C33" i="29" s="1"/>
  <c r="E156" i="72"/>
  <c r="D154" i="72"/>
  <c r="D153" i="72"/>
  <c r="E138" i="72"/>
  <c r="E144" i="72" s="1"/>
  <c r="F38" i="61" s="1"/>
  <c r="E155" i="72"/>
  <c r="D59" i="72"/>
  <c r="F139" i="72" s="1"/>
  <c r="F149" i="72"/>
  <c r="D61" i="72"/>
  <c r="F140" i="72" s="1"/>
  <c r="F150" i="72"/>
  <c r="D63" i="72"/>
  <c r="F141" i="72" s="1"/>
  <c r="F151" i="72"/>
  <c r="F142" i="72"/>
  <c r="F152" i="72"/>
  <c r="D64" i="72"/>
  <c r="D91" i="72"/>
  <c r="D58" i="72"/>
  <c r="E127" i="55"/>
  <c r="G180" i="55" s="1"/>
  <c r="G188" i="55"/>
  <c r="F182" i="53"/>
  <c r="F183" i="53"/>
  <c r="G161" i="29"/>
  <c r="D190" i="55"/>
  <c r="D189" i="55"/>
  <c r="F187" i="55"/>
  <c r="F192" i="55"/>
  <c r="E46" i="72"/>
  <c r="G148" i="72" s="1"/>
  <c r="E20" i="55"/>
  <c r="E77" i="55" s="1"/>
  <c r="E129" i="55" s="1"/>
  <c r="C12" i="72"/>
  <c r="D261" i="53"/>
  <c r="D263" i="53" s="1"/>
  <c r="D275" i="53" s="1"/>
  <c r="D277" i="53" s="1"/>
  <c r="E35" i="61"/>
  <c r="B12" i="21"/>
  <c r="C156" i="29" s="1"/>
  <c r="F15" i="61"/>
  <c r="G6" i="61" s="1"/>
  <c r="F260" i="53" s="1"/>
  <c r="F254" i="53"/>
  <c r="E191" i="53"/>
  <c r="C12" i="85" s="1"/>
  <c r="G146" i="53"/>
  <c r="G214" i="53"/>
  <c r="G208" i="53"/>
  <c r="G140" i="53"/>
  <c r="G209" i="53"/>
  <c r="G141" i="53"/>
  <c r="F59" i="81"/>
  <c r="E28" i="55"/>
  <c r="E85" i="55" s="1"/>
  <c r="E137" i="55" s="1"/>
  <c r="F15" i="72"/>
  <c r="F39" i="72" s="1"/>
  <c r="G69" i="81"/>
  <c r="F81" i="81"/>
  <c r="E51" i="72"/>
  <c r="F83" i="81"/>
  <c r="G217" i="53"/>
  <c r="G149" i="53"/>
  <c r="H136" i="53"/>
  <c r="H204" i="53"/>
  <c r="G46" i="81"/>
  <c r="G26" i="72" s="1"/>
  <c r="F72" i="55"/>
  <c r="F124" i="55" s="1"/>
  <c r="H130" i="53"/>
  <c r="H198" i="53"/>
  <c r="H97" i="81"/>
  <c r="I14" i="53" s="1"/>
  <c r="I67" i="53" s="1"/>
  <c r="H14" i="53"/>
  <c r="H67" i="53" s="1"/>
  <c r="G211" i="53"/>
  <c r="G143" i="53"/>
  <c r="F188" i="53"/>
  <c r="F252" i="53"/>
  <c r="F48" i="61"/>
  <c r="G49" i="81"/>
  <c r="F75" i="55"/>
  <c r="F56" i="81"/>
  <c r="E25" i="55"/>
  <c r="E82" i="55" s="1"/>
  <c r="E134" i="55" s="1"/>
  <c r="G102" i="81"/>
  <c r="G19" i="53"/>
  <c r="G72" i="53" s="1"/>
  <c r="G75" i="81"/>
  <c r="F21" i="72"/>
  <c r="F45" i="72" s="1"/>
  <c r="G110" i="81"/>
  <c r="G27" i="53"/>
  <c r="G80" i="53" s="1"/>
  <c r="G112" i="81"/>
  <c r="G29" i="53"/>
  <c r="G82" i="53" s="1"/>
  <c r="E70" i="72"/>
  <c r="E71" i="72"/>
  <c r="E68" i="55"/>
  <c r="E120" i="55" s="1"/>
  <c r="F116" i="53"/>
  <c r="F115" i="53"/>
  <c r="F55" i="81"/>
  <c r="E24" i="55"/>
  <c r="E81" i="55" s="1"/>
  <c r="E133" i="55" s="1"/>
  <c r="F78" i="81"/>
  <c r="E48" i="72"/>
  <c r="E60" i="72" s="1"/>
  <c r="G50" i="81"/>
  <c r="F19" i="55"/>
  <c r="F76" i="55" s="1"/>
  <c r="F128" i="55" s="1"/>
  <c r="F62" i="81"/>
  <c r="E31" i="55"/>
  <c r="E88" i="55" s="1"/>
  <c r="E140" i="55" s="1"/>
  <c r="G210" i="53"/>
  <c r="G142" i="53"/>
  <c r="G207" i="53"/>
  <c r="G139" i="53"/>
  <c r="D32" i="72"/>
  <c r="C10" i="55"/>
  <c r="C65" i="55"/>
  <c r="G111" i="81"/>
  <c r="G28" i="53"/>
  <c r="G81" i="53" s="1"/>
  <c r="H98" i="81"/>
  <c r="I15" i="53" s="1"/>
  <c r="I68" i="53" s="1"/>
  <c r="H15" i="53"/>
  <c r="H68" i="53" s="1"/>
  <c r="F77" i="81"/>
  <c r="F13" i="84" s="1"/>
  <c r="E47" i="72"/>
  <c r="F79" i="81"/>
  <c r="E49" i="72"/>
  <c r="F53" i="81"/>
  <c r="E22" i="55"/>
  <c r="E79" i="55" s="1"/>
  <c r="E131" i="55" s="1"/>
  <c r="F19" i="72"/>
  <c r="F43" i="72" s="1"/>
  <c r="G73" i="81"/>
  <c r="G72" i="81"/>
  <c r="F18" i="72"/>
  <c r="F42" i="72" s="1"/>
  <c r="F52" i="81"/>
  <c r="F251" i="53"/>
  <c r="F187" i="53"/>
  <c r="F54" i="81"/>
  <c r="E23" i="55"/>
  <c r="E80" i="55" s="1"/>
  <c r="E132" i="55" s="1"/>
  <c r="F118" i="53"/>
  <c r="G71" i="81"/>
  <c r="F17" i="72"/>
  <c r="F41" i="72" s="1"/>
  <c r="D33" i="55"/>
  <c r="F184" i="53"/>
  <c r="F248" i="53"/>
  <c r="D95" i="72"/>
  <c r="D96" i="72"/>
  <c r="G68" i="81"/>
  <c r="F14" i="72"/>
  <c r="F38" i="72" s="1"/>
  <c r="H92" i="81"/>
  <c r="I9" i="53" s="1"/>
  <c r="I62" i="53" s="1"/>
  <c r="H9" i="53"/>
  <c r="H62" i="53" s="1"/>
  <c r="F80" i="81"/>
  <c r="E50" i="72"/>
  <c r="E62" i="72" s="1"/>
  <c r="G67" i="81"/>
  <c r="F13" i="72"/>
  <c r="F37" i="72" s="1"/>
  <c r="F51" i="81"/>
  <c r="G216" i="53"/>
  <c r="G148" i="53"/>
  <c r="G218" i="53"/>
  <c r="G150" i="53"/>
  <c r="G70" i="81"/>
  <c r="F16" i="72"/>
  <c r="F40" i="72" s="1"/>
  <c r="G42" i="81"/>
  <c r="G22" i="72" s="1"/>
  <c r="G48" i="81"/>
  <c r="G17" i="55" s="1"/>
  <c r="F74" i="55"/>
  <c r="F126" i="55" s="1"/>
  <c r="F119" i="53"/>
  <c r="H201" i="53"/>
  <c r="H133" i="53"/>
  <c r="G212" i="53"/>
  <c r="G144" i="53"/>
  <c r="G104" i="81"/>
  <c r="G21" i="53"/>
  <c r="G74" i="53" s="1"/>
  <c r="G101" i="81"/>
  <c r="G18" i="53"/>
  <c r="G71" i="53" s="1"/>
  <c r="H134" i="53"/>
  <c r="H202" i="53"/>
  <c r="F58" i="81"/>
  <c r="E27" i="55"/>
  <c r="E84" i="55" s="1"/>
  <c r="E136" i="55" s="1"/>
  <c r="F84" i="81"/>
  <c r="E30" i="72"/>
  <c r="E54" i="72" s="1"/>
  <c r="H93" i="81"/>
  <c r="I10" i="53" s="1"/>
  <c r="I63" i="53" s="1"/>
  <c r="H10" i="53"/>
  <c r="H63" i="53" s="1"/>
  <c r="H203" i="53"/>
  <c r="H135" i="53"/>
  <c r="G105" i="81"/>
  <c r="G22" i="53"/>
  <c r="G75" i="53" s="1"/>
  <c r="H94" i="81"/>
  <c r="I11" i="53" s="1"/>
  <c r="I64" i="53" s="1"/>
  <c r="H11" i="53"/>
  <c r="H64" i="53" s="1"/>
  <c r="H99" i="81"/>
  <c r="I16" i="53" s="1"/>
  <c r="I69" i="53" s="1"/>
  <c r="H16" i="53"/>
  <c r="H69" i="53" s="1"/>
  <c r="F255" i="53"/>
  <c r="G107" i="81"/>
  <c r="G24" i="53"/>
  <c r="G77" i="53" s="1"/>
  <c r="E79" i="72"/>
  <c r="E78" i="72"/>
  <c r="G108" i="81"/>
  <c r="G25" i="53"/>
  <c r="G78" i="53" s="1"/>
  <c r="G44" i="81"/>
  <c r="G24" i="72" s="1"/>
  <c r="F70" i="55"/>
  <c r="F122" i="55" s="1"/>
  <c r="G47" i="81"/>
  <c r="G27" i="72" s="1"/>
  <c r="F73" i="55"/>
  <c r="F125" i="55" s="1"/>
  <c r="F60" i="81"/>
  <c r="E29" i="55"/>
  <c r="E86" i="55" s="1"/>
  <c r="E138" i="55" s="1"/>
  <c r="G43" i="81"/>
  <c r="G23" i="72" s="1"/>
  <c r="F69" i="55"/>
  <c r="F121" i="55" s="1"/>
  <c r="G103" i="81"/>
  <c r="G20" i="53"/>
  <c r="G73" i="53" s="1"/>
  <c r="H132" i="53"/>
  <c r="H200" i="53"/>
  <c r="H205" i="53"/>
  <c r="H137" i="53"/>
  <c r="F114" i="53"/>
  <c r="G61" i="81"/>
  <c r="F30" i="55"/>
  <c r="F87" i="55" s="1"/>
  <c r="F139" i="55" s="1"/>
  <c r="H95" i="81"/>
  <c r="I12" i="53" s="1"/>
  <c r="I65" i="53" s="1"/>
  <c r="H12" i="53"/>
  <c r="H65" i="53" s="1"/>
  <c r="G106" i="81"/>
  <c r="G23" i="53"/>
  <c r="G76" i="53" s="1"/>
  <c r="F76" i="81"/>
  <c r="G213" i="53"/>
  <c r="G145" i="53"/>
  <c r="G74" i="81"/>
  <c r="G18" i="55" s="1"/>
  <c r="F20" i="72"/>
  <c r="F44" i="72" s="1"/>
  <c r="H96" i="81"/>
  <c r="I13" i="53" s="1"/>
  <c r="I66" i="53" s="1"/>
  <c r="H13" i="53"/>
  <c r="H66" i="53" s="1"/>
  <c r="F85" i="81"/>
  <c r="E31" i="72"/>
  <c r="E55" i="72" s="1"/>
  <c r="G45" i="81"/>
  <c r="G25" i="72" s="1"/>
  <c r="F71" i="55"/>
  <c r="F123" i="55" s="1"/>
  <c r="F82" i="81"/>
  <c r="E52" i="72"/>
  <c r="F57" i="81"/>
  <c r="E26" i="55"/>
  <c r="E83" i="55" s="1"/>
  <c r="E135" i="55" s="1"/>
  <c r="H199" i="53"/>
  <c r="H131" i="53"/>
  <c r="G176" i="29"/>
  <c r="G146" i="29"/>
  <c r="G131" i="29"/>
  <c r="G24" i="68"/>
  <c r="M58" i="22"/>
  <c r="G36" i="21"/>
  <c r="G36" i="85"/>
  <c r="G206" i="85" s="1"/>
  <c r="H28" i="21"/>
  <c r="H28" i="85"/>
  <c r="N40" i="22"/>
  <c r="H35" i="21"/>
  <c r="H35" i="85"/>
  <c r="M59" i="22"/>
  <c r="N56" i="22" s="1"/>
  <c r="E68" i="22"/>
  <c r="F52" i="22"/>
  <c r="M65" i="22"/>
  <c r="N62" i="22" s="1"/>
  <c r="L51" i="22"/>
  <c r="L66" i="22"/>
  <c r="M45" i="22"/>
  <c r="M46" i="22" s="1"/>
  <c r="O39" i="22"/>
  <c r="E50" i="22"/>
  <c r="D69" i="22"/>
  <c r="I155" i="29"/>
  <c r="I35" i="29"/>
  <c r="I170" i="29"/>
  <c r="I125" i="29"/>
  <c r="I140" i="29"/>
  <c r="H196" i="85"/>
  <c r="I224" i="53" l="1"/>
  <c r="I156" i="53"/>
  <c r="F44" i="55"/>
  <c r="F101" i="55" s="1"/>
  <c r="F153" i="55" s="1"/>
  <c r="G55" i="83"/>
  <c r="G60" i="83"/>
  <c r="F49" i="55"/>
  <c r="F106" i="55" s="1"/>
  <c r="F158" i="55" s="1"/>
  <c r="I241" i="53"/>
  <c r="I176" i="53"/>
  <c r="H49" i="83"/>
  <c r="H38" i="55" s="1"/>
  <c r="H95" i="55" s="1"/>
  <c r="H147" i="55" s="1"/>
  <c r="G38" i="55"/>
  <c r="G95" i="55" s="1"/>
  <c r="G147" i="55" s="1"/>
  <c r="H80" i="83"/>
  <c r="H19" i="84" s="1"/>
  <c r="H50" i="84" s="1"/>
  <c r="G19" i="84"/>
  <c r="G50" i="84" s="1"/>
  <c r="H111" i="83"/>
  <c r="I42" i="53" s="1"/>
  <c r="I95" i="53" s="1"/>
  <c r="H42" i="53"/>
  <c r="H95" i="53" s="1"/>
  <c r="H169" i="53"/>
  <c r="H237" i="53"/>
  <c r="J176" i="53"/>
  <c r="J241" i="53"/>
  <c r="H238" i="53"/>
  <c r="H170" i="53"/>
  <c r="G56" i="83"/>
  <c r="F45" i="55"/>
  <c r="F102" i="55" s="1"/>
  <c r="F154" i="55" s="1"/>
  <c r="G37" i="55"/>
  <c r="G94" i="55" s="1"/>
  <c r="G146" i="55" s="1"/>
  <c r="H48" i="83"/>
  <c r="H37" i="55" s="1"/>
  <c r="H94" i="55" s="1"/>
  <c r="H146" i="55" s="1"/>
  <c r="H163" i="53"/>
  <c r="H231" i="53"/>
  <c r="H236" i="53"/>
  <c r="H168" i="53"/>
  <c r="G85" i="83"/>
  <c r="F24" i="84"/>
  <c r="F55" i="84" s="1"/>
  <c r="H52" i="83"/>
  <c r="H41" i="55" s="1"/>
  <c r="H98" i="55" s="1"/>
  <c r="H150" i="55" s="1"/>
  <c r="G41" i="55"/>
  <c r="G98" i="55" s="1"/>
  <c r="G150" i="55" s="1"/>
  <c r="H118" i="83"/>
  <c r="I49" i="53" s="1"/>
  <c r="I102" i="53" s="1"/>
  <c r="H49" i="53"/>
  <c r="H102" i="53" s="1"/>
  <c r="G61" i="83"/>
  <c r="F50" i="55"/>
  <c r="F107" i="55" s="1"/>
  <c r="F159" i="55" s="1"/>
  <c r="H234" i="53"/>
  <c r="H166" i="53"/>
  <c r="G57" i="55"/>
  <c r="G114" i="55" s="1"/>
  <c r="G166" i="55" s="1"/>
  <c r="H68" i="83"/>
  <c r="H57" i="55" s="1"/>
  <c r="H114" i="55" s="1"/>
  <c r="H166" i="55" s="1"/>
  <c r="G58" i="83"/>
  <c r="F47" i="55"/>
  <c r="F104" i="55" s="1"/>
  <c r="F156" i="55" s="1"/>
  <c r="J225" i="53"/>
  <c r="J157" i="53"/>
  <c r="C142" i="29"/>
  <c r="C157" i="29"/>
  <c r="C127" i="29"/>
  <c r="C172" i="29"/>
  <c r="C37" i="29"/>
  <c r="H167" i="53"/>
  <c r="H235" i="53"/>
  <c r="G59" i="83"/>
  <c r="F48" i="55"/>
  <c r="F105" i="55" s="1"/>
  <c r="F157" i="55" s="1"/>
  <c r="I225" i="53"/>
  <c r="I157" i="53"/>
  <c r="G88" i="83"/>
  <c r="F27" i="84"/>
  <c r="F58" i="84" s="1"/>
  <c r="G83" i="83"/>
  <c r="F22" i="84"/>
  <c r="F53" i="84" s="1"/>
  <c r="G89" i="83"/>
  <c r="F28" i="84"/>
  <c r="F59" i="84" s="1"/>
  <c r="J174" i="53"/>
  <c r="H115" i="83"/>
  <c r="I46" i="53" s="1"/>
  <c r="I99" i="53" s="1"/>
  <c r="H46" i="53"/>
  <c r="H99" i="53" s="1"/>
  <c r="G90" i="83"/>
  <c r="F29" i="84"/>
  <c r="F60" i="84" s="1"/>
  <c r="G57" i="83"/>
  <c r="F46" i="55"/>
  <c r="F103" i="55" s="1"/>
  <c r="F155" i="55" s="1"/>
  <c r="H77" i="83"/>
  <c r="H16" i="84" s="1"/>
  <c r="H47" i="84" s="1"/>
  <c r="G16" i="84"/>
  <c r="G47" i="84" s="1"/>
  <c r="H165" i="53"/>
  <c r="H233" i="53"/>
  <c r="H232" i="53"/>
  <c r="H164" i="53"/>
  <c r="H45" i="53"/>
  <c r="H98" i="53" s="1"/>
  <c r="H114" i="83"/>
  <c r="I45" i="53" s="1"/>
  <c r="I98" i="53" s="1"/>
  <c r="E39" i="84"/>
  <c r="E42" i="84" s="1"/>
  <c r="G155" i="84" s="1"/>
  <c r="J160" i="53"/>
  <c r="J228" i="53"/>
  <c r="H96" i="83"/>
  <c r="H35" i="84" s="1"/>
  <c r="H63" i="84" s="1"/>
  <c r="G35" i="84"/>
  <c r="G63" i="84" s="1"/>
  <c r="G15" i="84"/>
  <c r="G46" i="84" s="1"/>
  <c r="H76" i="83"/>
  <c r="H15" i="84" s="1"/>
  <c r="H46" i="84" s="1"/>
  <c r="G86" i="83"/>
  <c r="F25" i="84"/>
  <c r="F56" i="84" s="1"/>
  <c r="H113" i="83"/>
  <c r="I44" i="53" s="1"/>
  <c r="I97" i="53" s="1"/>
  <c r="H44" i="53"/>
  <c r="H97" i="53" s="1"/>
  <c r="H43" i="53"/>
  <c r="H96" i="53" s="1"/>
  <c r="H112" i="83"/>
  <c r="I43" i="53" s="1"/>
  <c r="I96" i="53" s="1"/>
  <c r="H116" i="83"/>
  <c r="I47" i="53" s="1"/>
  <c r="I100" i="53" s="1"/>
  <c r="H47" i="53"/>
  <c r="H100" i="53" s="1"/>
  <c r="F92" i="55"/>
  <c r="F144" i="55" s="1"/>
  <c r="E61" i="55"/>
  <c r="I228" i="53"/>
  <c r="I160" i="53"/>
  <c r="J222" i="53"/>
  <c r="J154" i="53"/>
  <c r="G84" i="83"/>
  <c r="F23" i="84"/>
  <c r="F54" i="84" s="1"/>
  <c r="H46" i="83"/>
  <c r="H35" i="55" s="1"/>
  <c r="G35" i="55"/>
  <c r="I164" i="84"/>
  <c r="I167" i="84"/>
  <c r="G125" i="84"/>
  <c r="G142" i="84" s="1"/>
  <c r="G124" i="84"/>
  <c r="G141" i="84" s="1"/>
  <c r="G126" i="84"/>
  <c r="G143" i="84" s="1"/>
  <c r="I156" i="84" s="1"/>
  <c r="G62" i="83"/>
  <c r="F51" i="55"/>
  <c r="F108" i="55" s="1"/>
  <c r="F160" i="55" s="1"/>
  <c r="I154" i="53"/>
  <c r="I222" i="53"/>
  <c r="E53" i="61"/>
  <c r="B23" i="85"/>
  <c r="D186" i="84"/>
  <c r="D188" i="84" s="1"/>
  <c r="B23" i="21"/>
  <c r="J173" i="53"/>
  <c r="G87" i="83"/>
  <c r="F26" i="84"/>
  <c r="F57" i="84" s="1"/>
  <c r="J164" i="84"/>
  <c r="H125" i="84"/>
  <c r="H142" i="84" s="1"/>
  <c r="H124" i="84"/>
  <c r="H141" i="84" s="1"/>
  <c r="J167" i="84"/>
  <c r="H126" i="84"/>
  <c r="H143" i="84" s="1"/>
  <c r="H117" i="83"/>
  <c r="I48" i="53" s="1"/>
  <c r="I101" i="53" s="1"/>
  <c r="H48" i="53"/>
  <c r="H101" i="53" s="1"/>
  <c r="J156" i="53"/>
  <c r="J224" i="53"/>
  <c r="B22" i="85"/>
  <c r="F18" i="61"/>
  <c r="F28" i="72"/>
  <c r="F52" i="72" s="1"/>
  <c r="F29" i="72"/>
  <c r="F53" i="72" s="1"/>
  <c r="F65" i="72" s="1"/>
  <c r="F21" i="55"/>
  <c r="F169" i="84"/>
  <c r="F168" i="84"/>
  <c r="F154" i="84"/>
  <c r="F159" i="84" s="1"/>
  <c r="F40" i="61"/>
  <c r="C13" i="85"/>
  <c r="C198" i="85" s="1"/>
  <c r="C13" i="21"/>
  <c r="E67" i="84"/>
  <c r="G163" i="84"/>
  <c r="G181" i="55"/>
  <c r="G194" i="55"/>
  <c r="G195" i="55"/>
  <c r="F165" i="84"/>
  <c r="F166" i="84"/>
  <c r="F44" i="84"/>
  <c r="B22" i="21"/>
  <c r="B9" i="85"/>
  <c r="B194" i="85" s="1"/>
  <c r="E38" i="61"/>
  <c r="F156" i="72"/>
  <c r="C153" i="29"/>
  <c r="C123" i="29"/>
  <c r="C138" i="29"/>
  <c r="C168" i="29"/>
  <c r="E51" i="61"/>
  <c r="E17" i="61"/>
  <c r="E154" i="72"/>
  <c r="E153" i="72"/>
  <c r="F138" i="72"/>
  <c r="F155" i="72"/>
  <c r="E59" i="72"/>
  <c r="G139" i="72" s="1"/>
  <c r="G149" i="72"/>
  <c r="E63" i="72"/>
  <c r="G141" i="72" s="1"/>
  <c r="G151" i="72"/>
  <c r="C9" i="85"/>
  <c r="C194" i="85" s="1"/>
  <c r="E64" i="72"/>
  <c r="C9" i="21"/>
  <c r="D168" i="29" s="1"/>
  <c r="E61" i="72"/>
  <c r="G140" i="72" s="1"/>
  <c r="G150" i="72"/>
  <c r="G142" i="72"/>
  <c r="G152" i="72"/>
  <c r="E91" i="72"/>
  <c r="E58" i="72"/>
  <c r="F127" i="55"/>
  <c r="H180" i="55" s="1"/>
  <c r="H188" i="55"/>
  <c r="D183" i="55"/>
  <c r="E37" i="61" s="1"/>
  <c r="E261" i="53"/>
  <c r="E263" i="53" s="1"/>
  <c r="C22" i="85" s="1"/>
  <c r="H131" i="29"/>
  <c r="G192" i="55"/>
  <c r="G187" i="55"/>
  <c r="F20" i="55"/>
  <c r="F77" i="55" s="1"/>
  <c r="F129" i="55" s="1"/>
  <c r="E190" i="55"/>
  <c r="E189" i="55"/>
  <c r="E16" i="61"/>
  <c r="E50" i="61"/>
  <c r="C141" i="29"/>
  <c r="C36" i="29"/>
  <c r="F191" i="53"/>
  <c r="D12" i="21" s="1"/>
  <c r="C126" i="29"/>
  <c r="C171" i="29"/>
  <c r="C197" i="85"/>
  <c r="F35" i="61"/>
  <c r="C12" i="21"/>
  <c r="G255" i="53"/>
  <c r="G254" i="53"/>
  <c r="G115" i="53"/>
  <c r="H183" i="53" s="1"/>
  <c r="G15" i="61"/>
  <c r="H6" i="61" s="1"/>
  <c r="J202" i="53"/>
  <c r="J134" i="53"/>
  <c r="H61" i="81"/>
  <c r="H30" i="55" s="1"/>
  <c r="H87" i="55" s="1"/>
  <c r="H139" i="55" s="1"/>
  <c r="G30" i="55"/>
  <c r="G87" i="55" s="1"/>
  <c r="G139" i="55" s="1"/>
  <c r="H141" i="53"/>
  <c r="H209" i="53"/>
  <c r="H70" i="81"/>
  <c r="H16" i="72" s="1"/>
  <c r="H40" i="72" s="1"/>
  <c r="G16" i="72"/>
  <c r="G40" i="72" s="1"/>
  <c r="J198" i="53"/>
  <c r="J130" i="53"/>
  <c r="G52" i="81"/>
  <c r="F78" i="55"/>
  <c r="F130" i="55" s="1"/>
  <c r="I204" i="53"/>
  <c r="I136" i="53"/>
  <c r="G62" i="81"/>
  <c r="F31" i="55"/>
  <c r="F88" i="55" s="1"/>
  <c r="F140" i="55" s="1"/>
  <c r="G78" i="81"/>
  <c r="F48" i="72"/>
  <c r="F60" i="72" s="1"/>
  <c r="H148" i="53"/>
  <c r="H216" i="53"/>
  <c r="G116" i="53"/>
  <c r="G118" i="53"/>
  <c r="I201" i="53"/>
  <c r="I133" i="53"/>
  <c r="H103" i="81"/>
  <c r="I20" i="53" s="1"/>
  <c r="I73" i="53" s="1"/>
  <c r="H20" i="53"/>
  <c r="H73" i="53" s="1"/>
  <c r="G60" i="81"/>
  <c r="F29" i="55"/>
  <c r="F86" i="55" s="1"/>
  <c r="F138" i="55" s="1"/>
  <c r="H44" i="81"/>
  <c r="G70" i="55"/>
  <c r="G122" i="55" s="1"/>
  <c r="I205" i="53"/>
  <c r="I137" i="53"/>
  <c r="H143" i="53"/>
  <c r="H211" i="53"/>
  <c r="G84" i="81"/>
  <c r="F30" i="72"/>
  <c r="F54" i="72" s="1"/>
  <c r="H104" i="81"/>
  <c r="I21" i="53" s="1"/>
  <c r="I74" i="53" s="1"/>
  <c r="H21" i="53"/>
  <c r="H74" i="53" s="1"/>
  <c r="F68" i="55"/>
  <c r="F120" i="55" s="1"/>
  <c r="G251" i="53"/>
  <c r="G187" i="53"/>
  <c r="F79" i="72"/>
  <c r="F78" i="72"/>
  <c r="F49" i="72"/>
  <c r="G79" i="81"/>
  <c r="J204" i="53"/>
  <c r="J136" i="53"/>
  <c r="G48" i="61"/>
  <c r="G248" i="53"/>
  <c r="G184" i="53"/>
  <c r="H27" i="53"/>
  <c r="H80" i="53" s="1"/>
  <c r="H110" i="81"/>
  <c r="I27" i="53" s="1"/>
  <c r="I80" i="53" s="1"/>
  <c r="H75" i="81"/>
  <c r="H21" i="72" s="1"/>
  <c r="H45" i="72" s="1"/>
  <c r="G21" i="72"/>
  <c r="G45" i="72" s="1"/>
  <c r="F25" i="55"/>
  <c r="F82" i="55" s="1"/>
  <c r="F134" i="55" s="1"/>
  <c r="G56" i="81"/>
  <c r="I203" i="53"/>
  <c r="I135" i="53"/>
  <c r="G114" i="53"/>
  <c r="H46" i="81"/>
  <c r="G72" i="55"/>
  <c r="G124" i="55" s="1"/>
  <c r="G81" i="81"/>
  <c r="F51" i="72"/>
  <c r="G59" i="81"/>
  <c r="F28" i="55"/>
  <c r="F85" i="55" s="1"/>
  <c r="F137" i="55" s="1"/>
  <c r="G71" i="55"/>
  <c r="G123" i="55" s="1"/>
  <c r="H45" i="81"/>
  <c r="H23" i="53"/>
  <c r="H76" i="53" s="1"/>
  <c r="H106" i="81"/>
  <c r="I23" i="53" s="1"/>
  <c r="I76" i="53" s="1"/>
  <c r="G54" i="81"/>
  <c r="F23" i="55"/>
  <c r="F80" i="55" s="1"/>
  <c r="F132" i="55" s="1"/>
  <c r="H73" i="81"/>
  <c r="H19" i="72" s="1"/>
  <c r="H43" i="72" s="1"/>
  <c r="G19" i="72"/>
  <c r="G43" i="72" s="1"/>
  <c r="G247" i="53"/>
  <c r="G183" i="53"/>
  <c r="E275" i="53"/>
  <c r="E277" i="53" s="1"/>
  <c r="G82" i="81"/>
  <c r="F31" i="72"/>
  <c r="F55" i="72" s="1"/>
  <c r="G85" i="81"/>
  <c r="H74" i="81"/>
  <c r="G20" i="72"/>
  <c r="G44" i="72" s="1"/>
  <c r="G76" i="81"/>
  <c r="F46" i="72"/>
  <c r="H148" i="72" s="1"/>
  <c r="J201" i="53"/>
  <c r="J133" i="53"/>
  <c r="H214" i="53"/>
  <c r="H146" i="53"/>
  <c r="H145" i="53"/>
  <c r="H213" i="53"/>
  <c r="J205" i="53"/>
  <c r="J137" i="53"/>
  <c r="H105" i="81"/>
  <c r="I22" i="53" s="1"/>
  <c r="I75" i="53" s="1"/>
  <c r="H22" i="53"/>
  <c r="H75" i="53" s="1"/>
  <c r="I199" i="53"/>
  <c r="I131" i="53"/>
  <c r="H139" i="53"/>
  <c r="H207" i="53"/>
  <c r="G252" i="53"/>
  <c r="G188" i="53"/>
  <c r="H42" i="81"/>
  <c r="G51" i="81"/>
  <c r="G28" i="72" s="1"/>
  <c r="G80" i="81"/>
  <c r="F50" i="72"/>
  <c r="F62" i="72" s="1"/>
  <c r="H68" i="81"/>
  <c r="H14" i="72" s="1"/>
  <c r="H38" i="72" s="1"/>
  <c r="G14" i="72"/>
  <c r="G38" i="72" s="1"/>
  <c r="D65" i="55"/>
  <c r="D10" i="55"/>
  <c r="H72" i="81"/>
  <c r="H18" i="72" s="1"/>
  <c r="H42" i="72" s="1"/>
  <c r="G18" i="72"/>
  <c r="G42" i="72" s="1"/>
  <c r="E96" i="72"/>
  <c r="E95" i="72"/>
  <c r="H217" i="53"/>
  <c r="H149" i="53"/>
  <c r="D12" i="72"/>
  <c r="D35" i="72"/>
  <c r="F143" i="72" s="1"/>
  <c r="G19" i="55"/>
  <c r="G76" i="55" s="1"/>
  <c r="G128" i="55" s="1"/>
  <c r="H50" i="81"/>
  <c r="H19" i="55" s="1"/>
  <c r="H76" i="55" s="1"/>
  <c r="H128" i="55" s="1"/>
  <c r="E33" i="55"/>
  <c r="H150" i="53"/>
  <c r="H218" i="53"/>
  <c r="E32" i="72"/>
  <c r="H208" i="53"/>
  <c r="H140" i="53"/>
  <c r="J135" i="53"/>
  <c r="J203" i="53"/>
  <c r="H69" i="81"/>
  <c r="H15" i="72" s="1"/>
  <c r="H39" i="72" s="1"/>
  <c r="G15" i="72"/>
  <c r="G39" i="72" s="1"/>
  <c r="G57" i="81"/>
  <c r="F26" i="55"/>
  <c r="F83" i="55" s="1"/>
  <c r="F135" i="55" s="1"/>
  <c r="J200" i="53"/>
  <c r="J132" i="53"/>
  <c r="H210" i="53"/>
  <c r="H142" i="53"/>
  <c r="H48" i="81"/>
  <c r="H17" i="55" s="1"/>
  <c r="G74" i="55"/>
  <c r="G126" i="55" s="1"/>
  <c r="H67" i="81"/>
  <c r="H13" i="72" s="1"/>
  <c r="H37" i="72" s="1"/>
  <c r="G13" i="72"/>
  <c r="G37" i="72" s="1"/>
  <c r="H71" i="81"/>
  <c r="H17" i="72" s="1"/>
  <c r="H41" i="72" s="1"/>
  <c r="G17" i="72"/>
  <c r="G41" i="72" s="1"/>
  <c r="I134" i="53"/>
  <c r="I202" i="53"/>
  <c r="H212" i="53"/>
  <c r="H144" i="53"/>
  <c r="G246" i="53"/>
  <c r="G182" i="53"/>
  <c r="H43" i="81"/>
  <c r="G69" i="55"/>
  <c r="G121" i="55" s="1"/>
  <c r="H47" i="81"/>
  <c r="G73" i="55"/>
  <c r="G125" i="55" s="1"/>
  <c r="H108" i="81"/>
  <c r="I25" i="53" s="1"/>
  <c r="I78" i="53" s="1"/>
  <c r="H25" i="53"/>
  <c r="H78" i="53" s="1"/>
  <c r="H24" i="53"/>
  <c r="H77" i="53" s="1"/>
  <c r="H107" i="81"/>
  <c r="I24" i="53" s="1"/>
  <c r="I77" i="53" s="1"/>
  <c r="I132" i="53"/>
  <c r="I200" i="53"/>
  <c r="J199" i="53"/>
  <c r="J131" i="53"/>
  <c r="G58" i="81"/>
  <c r="F27" i="55"/>
  <c r="F84" i="55" s="1"/>
  <c r="F136" i="55" s="1"/>
  <c r="H101" i="81"/>
  <c r="I18" i="53" s="1"/>
  <c r="I71" i="53" s="1"/>
  <c r="H18" i="53"/>
  <c r="H71" i="53" s="1"/>
  <c r="F71" i="72"/>
  <c r="F70" i="72"/>
  <c r="I198" i="53"/>
  <c r="I130" i="53"/>
  <c r="G53" i="81"/>
  <c r="F22" i="55"/>
  <c r="F79" i="55" s="1"/>
  <c r="F131" i="55" s="1"/>
  <c r="F47" i="72"/>
  <c r="G77" i="81"/>
  <c r="G13" i="84" s="1"/>
  <c r="H111" i="81"/>
  <c r="I28" i="53" s="1"/>
  <c r="I81" i="53" s="1"/>
  <c r="H28" i="53"/>
  <c r="H81" i="53" s="1"/>
  <c r="G55" i="81"/>
  <c r="F24" i="55"/>
  <c r="F81" i="55" s="1"/>
  <c r="F133" i="55" s="1"/>
  <c r="H112" i="81"/>
  <c r="I29" i="53" s="1"/>
  <c r="I82" i="53" s="1"/>
  <c r="H29" i="53"/>
  <c r="H82" i="53" s="1"/>
  <c r="H102" i="81"/>
  <c r="I19" i="53" s="1"/>
  <c r="I72" i="53" s="1"/>
  <c r="H19" i="53"/>
  <c r="H72" i="53" s="1"/>
  <c r="H49" i="81"/>
  <c r="G75" i="55"/>
  <c r="G119" i="53"/>
  <c r="G83" i="81"/>
  <c r="H161" i="29"/>
  <c r="H146" i="29"/>
  <c r="H24" i="68"/>
  <c r="H176" i="29"/>
  <c r="H36" i="21"/>
  <c r="H36" i="85"/>
  <c r="H206" i="85" s="1"/>
  <c r="O40" i="22"/>
  <c r="F76" i="86"/>
  <c r="O41" i="22"/>
  <c r="P38" i="22" s="1"/>
  <c r="P39" i="22" s="1"/>
  <c r="E53" i="22"/>
  <c r="E66" i="22"/>
  <c r="D13" i="69" s="1"/>
  <c r="D15" i="69" s="1"/>
  <c r="L67" i="22"/>
  <c r="D45" i="29" s="1"/>
  <c r="L52" i="22"/>
  <c r="N57" i="22"/>
  <c r="N58" i="22" s="1"/>
  <c r="M47" i="22"/>
  <c r="N44" i="22" s="1"/>
  <c r="N63" i="22"/>
  <c r="N64" i="22" s="1"/>
  <c r="G52" i="22"/>
  <c r="F68" i="22"/>
  <c r="L53" i="22"/>
  <c r="H62" i="83" l="1"/>
  <c r="H51" i="55" s="1"/>
  <c r="H108" i="55" s="1"/>
  <c r="H160" i="55" s="1"/>
  <c r="G51" i="55"/>
  <c r="G108" i="55" s="1"/>
  <c r="G160" i="55" s="1"/>
  <c r="G25" i="84"/>
  <c r="G56" i="84" s="1"/>
  <c r="H86" i="83"/>
  <c r="H25" i="84" s="1"/>
  <c r="H56" i="84" s="1"/>
  <c r="H89" i="83"/>
  <c r="H28" i="84" s="1"/>
  <c r="H59" i="84" s="1"/>
  <c r="G28" i="84"/>
  <c r="G59" i="84" s="1"/>
  <c r="H61" i="83"/>
  <c r="H50" i="55" s="1"/>
  <c r="H107" i="55" s="1"/>
  <c r="H159" i="55" s="1"/>
  <c r="G50" i="55"/>
  <c r="G107" i="55" s="1"/>
  <c r="G159" i="55" s="1"/>
  <c r="H83" i="83"/>
  <c r="H22" i="84" s="1"/>
  <c r="H53" i="84" s="1"/>
  <c r="G22" i="84"/>
  <c r="G53" i="84" s="1"/>
  <c r="I238" i="53"/>
  <c r="I170" i="53"/>
  <c r="H87" i="83"/>
  <c r="H26" i="84" s="1"/>
  <c r="H57" i="84" s="1"/>
  <c r="G26" i="84"/>
  <c r="G57" i="84" s="1"/>
  <c r="F61" i="55"/>
  <c r="J170" i="53"/>
  <c r="J238" i="53"/>
  <c r="G45" i="55"/>
  <c r="G102" i="55" s="1"/>
  <c r="G154" i="55" s="1"/>
  <c r="H56" i="83"/>
  <c r="H45" i="55" s="1"/>
  <c r="H102" i="55" s="1"/>
  <c r="H154" i="55" s="1"/>
  <c r="G27" i="84"/>
  <c r="G58" i="84" s="1"/>
  <c r="H88" i="83"/>
  <c r="H27" i="84" s="1"/>
  <c r="H58" i="84" s="1"/>
  <c r="I236" i="53"/>
  <c r="I168" i="53"/>
  <c r="G46" i="55"/>
  <c r="G103" i="55" s="1"/>
  <c r="G155" i="55" s="1"/>
  <c r="H57" i="83"/>
  <c r="H46" i="55" s="1"/>
  <c r="H103" i="55" s="1"/>
  <c r="H155" i="55" s="1"/>
  <c r="H90" i="83"/>
  <c r="H29" i="84" s="1"/>
  <c r="H60" i="84" s="1"/>
  <c r="G29" i="84"/>
  <c r="G60" i="84" s="1"/>
  <c r="H58" i="83"/>
  <c r="H47" i="55" s="1"/>
  <c r="H104" i="55" s="1"/>
  <c r="H156" i="55" s="1"/>
  <c r="G47" i="55"/>
  <c r="G104" i="55" s="1"/>
  <c r="G156" i="55" s="1"/>
  <c r="G24" i="84"/>
  <c r="G55" i="84" s="1"/>
  <c r="H85" i="83"/>
  <c r="H24" i="84" s="1"/>
  <c r="H55" i="84" s="1"/>
  <c r="G49" i="55"/>
  <c r="G106" i="55" s="1"/>
  <c r="G158" i="55" s="1"/>
  <c r="H60" i="83"/>
  <c r="H49" i="55" s="1"/>
  <c r="H106" i="55" s="1"/>
  <c r="H158" i="55" s="1"/>
  <c r="G92" i="55"/>
  <c r="G144" i="55" s="1"/>
  <c r="I169" i="53"/>
  <c r="I237" i="53"/>
  <c r="H92" i="55"/>
  <c r="H144" i="55" s="1"/>
  <c r="J232" i="53"/>
  <c r="J164" i="53"/>
  <c r="J169" i="53"/>
  <c r="J237" i="53"/>
  <c r="I232" i="53"/>
  <c r="I164" i="53"/>
  <c r="J234" i="53"/>
  <c r="J166" i="53"/>
  <c r="I167" i="53"/>
  <c r="I235" i="53"/>
  <c r="H59" i="83"/>
  <c r="H48" i="55" s="1"/>
  <c r="H105" i="55" s="1"/>
  <c r="H157" i="55" s="1"/>
  <c r="G48" i="55"/>
  <c r="G105" i="55" s="1"/>
  <c r="G157" i="55" s="1"/>
  <c r="H55" i="83"/>
  <c r="H44" i="55" s="1"/>
  <c r="H101" i="55" s="1"/>
  <c r="H153" i="55" s="1"/>
  <c r="G44" i="55"/>
  <c r="G101" i="55" s="1"/>
  <c r="G153" i="55" s="1"/>
  <c r="F39" i="84"/>
  <c r="J156" i="84"/>
  <c r="G23" i="84"/>
  <c r="G54" i="84" s="1"/>
  <c r="H84" i="83"/>
  <c r="H23" i="84" s="1"/>
  <c r="H54" i="84" s="1"/>
  <c r="I165" i="53"/>
  <c r="I233" i="53"/>
  <c r="I166" i="53"/>
  <c r="I234" i="53"/>
  <c r="J235" i="53"/>
  <c r="J167" i="53"/>
  <c r="J168" i="53"/>
  <c r="J236" i="53"/>
  <c r="H20" i="72"/>
  <c r="H44" i="72" s="1"/>
  <c r="H18" i="55"/>
  <c r="H75" i="55" s="1"/>
  <c r="J233" i="53"/>
  <c r="J165" i="53"/>
  <c r="I163" i="53"/>
  <c r="I231" i="53"/>
  <c r="J231" i="53"/>
  <c r="J163" i="53"/>
  <c r="G18" i="61"/>
  <c r="F175" i="84" s="1"/>
  <c r="E175" i="84"/>
  <c r="E177" i="84" s="1"/>
  <c r="C23" i="85" s="1"/>
  <c r="G9" i="61"/>
  <c r="F174" i="84" s="1"/>
  <c r="E42" i="61"/>
  <c r="B9" i="69" s="1"/>
  <c r="C31" i="68" s="1"/>
  <c r="G29" i="72"/>
  <c r="G21" i="55"/>
  <c r="H74" i="55"/>
  <c r="H126" i="55" s="1"/>
  <c r="C22" i="21"/>
  <c r="F144" i="72"/>
  <c r="G38" i="61" s="1"/>
  <c r="D127" i="29"/>
  <c r="D157" i="29"/>
  <c r="D142" i="29"/>
  <c r="D37" i="29"/>
  <c r="D172" i="29"/>
  <c r="F67" i="84"/>
  <c r="H163" i="84"/>
  <c r="G154" i="84"/>
  <c r="G159" i="84" s="1"/>
  <c r="G168" i="84"/>
  <c r="G169" i="84"/>
  <c r="D13" i="85"/>
  <c r="D198" i="85" s="1"/>
  <c r="G40" i="61"/>
  <c r="D13" i="21"/>
  <c r="G44" i="84"/>
  <c r="H181" i="55"/>
  <c r="H195" i="55"/>
  <c r="H194" i="55"/>
  <c r="G165" i="84"/>
  <c r="G166" i="84"/>
  <c r="F42" i="84"/>
  <c r="H155" i="84" s="1"/>
  <c r="D33" i="29"/>
  <c r="D138" i="29"/>
  <c r="D153" i="29"/>
  <c r="G156" i="72"/>
  <c r="D123" i="29"/>
  <c r="F154" i="72"/>
  <c r="F153" i="72"/>
  <c r="E55" i="61"/>
  <c r="B25" i="69" s="1"/>
  <c r="C12" i="68" s="1"/>
  <c r="G138" i="72"/>
  <c r="G155" i="72"/>
  <c r="F51" i="61"/>
  <c r="F17" i="61"/>
  <c r="F8" i="61"/>
  <c r="E160" i="72" s="1"/>
  <c r="D161" i="72"/>
  <c r="D163" i="72" s="1"/>
  <c r="H142" i="72"/>
  <c r="H152" i="72"/>
  <c r="F61" i="72"/>
  <c r="H140" i="72" s="1"/>
  <c r="H150" i="72"/>
  <c r="F59" i="72"/>
  <c r="H139" i="72" s="1"/>
  <c r="H149" i="72"/>
  <c r="F64" i="72"/>
  <c r="F63" i="72"/>
  <c r="H141" i="72" s="1"/>
  <c r="H151" i="72"/>
  <c r="F91" i="72"/>
  <c r="F58" i="72"/>
  <c r="G127" i="55"/>
  <c r="I180" i="55" s="1"/>
  <c r="I188" i="55"/>
  <c r="B8" i="85"/>
  <c r="B193" i="85" s="1"/>
  <c r="B200" i="85" s="1"/>
  <c r="B8" i="21"/>
  <c r="C137" i="29" s="1"/>
  <c r="C144" i="29" s="1"/>
  <c r="H71" i="55"/>
  <c r="H123" i="55" s="1"/>
  <c r="H25" i="72"/>
  <c r="H70" i="55"/>
  <c r="H122" i="55" s="1"/>
  <c r="H24" i="72"/>
  <c r="H69" i="55"/>
  <c r="H121" i="55" s="1"/>
  <c r="H23" i="72"/>
  <c r="H22" i="72"/>
  <c r="H73" i="55"/>
  <c r="H125" i="55" s="1"/>
  <c r="H27" i="72"/>
  <c r="H72" i="55"/>
  <c r="H124" i="55" s="1"/>
  <c r="H26" i="72"/>
  <c r="I131" i="29"/>
  <c r="H192" i="55"/>
  <c r="H187" i="55"/>
  <c r="G20" i="55"/>
  <c r="G77" i="55" s="1"/>
  <c r="G129" i="55" s="1"/>
  <c r="F7" i="61"/>
  <c r="D199" i="55"/>
  <c r="D201" i="55" s="1"/>
  <c r="E21" i="61"/>
  <c r="F50" i="61"/>
  <c r="F16" i="61"/>
  <c r="F189" i="55"/>
  <c r="F190" i="55"/>
  <c r="E183" i="55"/>
  <c r="D12" i="85"/>
  <c r="D197" i="85" s="1"/>
  <c r="G35" i="61"/>
  <c r="H114" i="53"/>
  <c r="I182" i="53" s="1"/>
  <c r="H118" i="53"/>
  <c r="I187" i="53" s="1"/>
  <c r="D126" i="29"/>
  <c r="D156" i="29"/>
  <c r="D171" i="29"/>
  <c r="F261" i="53"/>
  <c r="F263" i="53" s="1"/>
  <c r="D22" i="21" s="1"/>
  <c r="D141" i="29"/>
  <c r="H247" i="53"/>
  <c r="D36" i="29"/>
  <c r="G191" i="53"/>
  <c r="H35" i="61" s="1"/>
  <c r="H116" i="53"/>
  <c r="I248" i="53" s="1"/>
  <c r="I115" i="53"/>
  <c r="J247" i="53" s="1"/>
  <c r="H15" i="61"/>
  <c r="F95" i="72"/>
  <c r="F96" i="72"/>
  <c r="H51" i="81"/>
  <c r="H28" i="72" s="1"/>
  <c r="J211" i="53"/>
  <c r="J143" i="53"/>
  <c r="H56" i="81"/>
  <c r="H25" i="55" s="1"/>
  <c r="H82" i="55" s="1"/>
  <c r="H134" i="55" s="1"/>
  <c r="G25" i="55"/>
  <c r="G82" i="55" s="1"/>
  <c r="G134" i="55" s="1"/>
  <c r="I150" i="53"/>
  <c r="I218" i="53"/>
  <c r="I217" i="53"/>
  <c r="I149" i="53"/>
  <c r="H115" i="53"/>
  <c r="G27" i="55"/>
  <c r="G84" i="55" s="1"/>
  <c r="G136" i="55" s="1"/>
  <c r="H58" i="81"/>
  <c r="H27" i="55" s="1"/>
  <c r="H84" i="55" s="1"/>
  <c r="H136" i="55" s="1"/>
  <c r="I145" i="53"/>
  <c r="I213" i="53"/>
  <c r="G68" i="55"/>
  <c r="G120" i="55" s="1"/>
  <c r="H85" i="81"/>
  <c r="H31" i="72" s="1"/>
  <c r="H55" i="72" s="1"/>
  <c r="G31" i="72"/>
  <c r="G55" i="72" s="1"/>
  <c r="H182" i="53"/>
  <c r="H246" i="53"/>
  <c r="H255" i="53"/>
  <c r="I216" i="53"/>
  <c r="I148" i="53"/>
  <c r="I142" i="53"/>
  <c r="I210" i="53"/>
  <c r="I209" i="53"/>
  <c r="I141" i="53"/>
  <c r="H184" i="53"/>
  <c r="H248" i="53"/>
  <c r="H78" i="81"/>
  <c r="G48" i="72"/>
  <c r="G60" i="72" s="1"/>
  <c r="I119" i="53"/>
  <c r="I114" i="53"/>
  <c r="H252" i="53"/>
  <c r="H188" i="53"/>
  <c r="H55" i="81"/>
  <c r="H24" i="55" s="1"/>
  <c r="H81" i="55" s="1"/>
  <c r="H133" i="55" s="1"/>
  <c r="G24" i="55"/>
  <c r="G81" i="55" s="1"/>
  <c r="G133" i="55" s="1"/>
  <c r="J213" i="53"/>
  <c r="J145" i="53"/>
  <c r="I212" i="53"/>
  <c r="I144" i="53"/>
  <c r="G28" i="55"/>
  <c r="G85" i="55" s="1"/>
  <c r="G137" i="55" s="1"/>
  <c r="H59" i="81"/>
  <c r="H28" i="55" s="1"/>
  <c r="H85" i="55" s="1"/>
  <c r="H137" i="55" s="1"/>
  <c r="J216" i="53"/>
  <c r="J148" i="53"/>
  <c r="H84" i="81"/>
  <c r="H30" i="72" s="1"/>
  <c r="H54" i="72" s="1"/>
  <c r="G30" i="72"/>
  <c r="G54" i="72" s="1"/>
  <c r="G29" i="55"/>
  <c r="G86" i="55" s="1"/>
  <c r="G138" i="55" s="1"/>
  <c r="H60" i="81"/>
  <c r="H29" i="55" s="1"/>
  <c r="H86" i="55" s="1"/>
  <c r="H138" i="55" s="1"/>
  <c r="I116" i="53"/>
  <c r="H70" i="72"/>
  <c r="H71" i="72"/>
  <c r="H83" i="81"/>
  <c r="G53" i="72"/>
  <c r="G65" i="72" s="1"/>
  <c r="J150" i="53"/>
  <c r="J218" i="53"/>
  <c r="J217" i="53"/>
  <c r="J149" i="53"/>
  <c r="G22" i="55"/>
  <c r="G79" i="55" s="1"/>
  <c r="G131" i="55" s="1"/>
  <c r="H53" i="81"/>
  <c r="H22" i="55" s="1"/>
  <c r="H79" i="55" s="1"/>
  <c r="H131" i="55" s="1"/>
  <c r="F32" i="72"/>
  <c r="I207" i="53"/>
  <c r="I139" i="53"/>
  <c r="I214" i="53"/>
  <c r="I146" i="53"/>
  <c r="E10" i="55"/>
  <c r="E65" i="55"/>
  <c r="H80" i="81"/>
  <c r="G50" i="72"/>
  <c r="G62" i="72" s="1"/>
  <c r="H68" i="55"/>
  <c r="H120" i="55" s="1"/>
  <c r="H76" i="81"/>
  <c r="H20" i="55" s="1"/>
  <c r="G46" i="72"/>
  <c r="I148" i="72" s="1"/>
  <c r="H54" i="81"/>
  <c r="H23" i="55" s="1"/>
  <c r="H80" i="55" s="1"/>
  <c r="H132" i="55" s="1"/>
  <c r="G23" i="55"/>
  <c r="G80" i="55" s="1"/>
  <c r="G132" i="55" s="1"/>
  <c r="H81" i="81"/>
  <c r="G51" i="72"/>
  <c r="J142" i="53"/>
  <c r="J210" i="53"/>
  <c r="J209" i="53"/>
  <c r="J141" i="53"/>
  <c r="H254" i="53"/>
  <c r="J208" i="53"/>
  <c r="J140" i="53"/>
  <c r="H57" i="81"/>
  <c r="H26" i="55" s="1"/>
  <c r="H83" i="55" s="1"/>
  <c r="H135" i="55" s="1"/>
  <c r="G26" i="55"/>
  <c r="G83" i="55" s="1"/>
  <c r="G135" i="55" s="1"/>
  <c r="H79" i="72"/>
  <c r="H78" i="72"/>
  <c r="H82" i="81"/>
  <c r="G52" i="72"/>
  <c r="F33" i="55"/>
  <c r="H251" i="53"/>
  <c r="H187" i="53"/>
  <c r="I118" i="53"/>
  <c r="I208" i="53"/>
  <c r="I140" i="53"/>
  <c r="H77" i="81"/>
  <c r="H13" i="84" s="1"/>
  <c r="G47" i="72"/>
  <c r="H119" i="53"/>
  <c r="J207" i="53"/>
  <c r="J139" i="53"/>
  <c r="J146" i="53"/>
  <c r="J214" i="53"/>
  <c r="E35" i="72"/>
  <c r="G143" i="72" s="1"/>
  <c r="E12" i="72"/>
  <c r="G78" i="72"/>
  <c r="G79" i="72"/>
  <c r="I211" i="53"/>
  <c r="I143" i="53"/>
  <c r="J212" i="53"/>
  <c r="J144" i="53"/>
  <c r="H79" i="81"/>
  <c r="G49" i="72"/>
  <c r="H48" i="61"/>
  <c r="E126" i="29"/>
  <c r="E141" i="29"/>
  <c r="E36" i="29"/>
  <c r="E156" i="29"/>
  <c r="E171" i="29"/>
  <c r="H62" i="81"/>
  <c r="H31" i="55" s="1"/>
  <c r="H88" i="55" s="1"/>
  <c r="H140" i="55" s="1"/>
  <c r="G31" i="55"/>
  <c r="G88" i="55" s="1"/>
  <c r="G140" i="55" s="1"/>
  <c r="H52" i="81"/>
  <c r="H21" i="55" s="1"/>
  <c r="G78" i="55"/>
  <c r="G130" i="55" s="1"/>
  <c r="G70" i="72"/>
  <c r="G71" i="72"/>
  <c r="G260" i="53"/>
  <c r="G63" i="86"/>
  <c r="G72" i="86"/>
  <c r="I146" i="29"/>
  <c r="I24" i="68"/>
  <c r="I176" i="29"/>
  <c r="I161" i="29"/>
  <c r="P40" i="22"/>
  <c r="N59" i="22"/>
  <c r="O56" i="22" s="1"/>
  <c r="O57" i="22" s="1"/>
  <c r="G60" i="86"/>
  <c r="M50" i="22"/>
  <c r="L69" i="22"/>
  <c r="H52" i="22"/>
  <c r="G68" i="22"/>
  <c r="N45" i="22"/>
  <c r="N46" i="22" s="1"/>
  <c r="E69" i="22"/>
  <c r="F50" i="22"/>
  <c r="P41" i="22"/>
  <c r="Q38" i="22" s="1"/>
  <c r="L68" i="22"/>
  <c r="N65" i="22"/>
  <c r="O62" i="22" s="1"/>
  <c r="C98" i="22"/>
  <c r="C59" i="85"/>
  <c r="J188" i="55" l="1"/>
  <c r="H127" i="55"/>
  <c r="G61" i="55"/>
  <c r="H61" i="55"/>
  <c r="G39" i="84"/>
  <c r="F177" i="84"/>
  <c r="F186" i="84" s="1"/>
  <c r="F188" i="84" s="1"/>
  <c r="H9" i="61"/>
  <c r="G174" i="84" s="1"/>
  <c r="C23" i="21"/>
  <c r="F53" i="61"/>
  <c r="F55" i="61" s="1"/>
  <c r="C25" i="69" s="1"/>
  <c r="D12" i="68" s="1"/>
  <c r="E186" i="84"/>
  <c r="E188" i="84" s="1"/>
  <c r="D23" i="21"/>
  <c r="D23" i="85"/>
  <c r="H18" i="61"/>
  <c r="D9" i="21"/>
  <c r="E138" i="29" s="1"/>
  <c r="D9" i="85"/>
  <c r="D194" i="85" s="1"/>
  <c r="J180" i="55"/>
  <c r="B15" i="85"/>
  <c r="H169" i="84"/>
  <c r="H154" i="84"/>
  <c r="H159" i="84" s="1"/>
  <c r="H168" i="84"/>
  <c r="E37" i="29"/>
  <c r="E157" i="29"/>
  <c r="E172" i="29"/>
  <c r="E142" i="29"/>
  <c r="E127" i="29"/>
  <c r="I163" i="84"/>
  <c r="G67" i="84"/>
  <c r="E13" i="21"/>
  <c r="E13" i="85"/>
  <c r="E198" i="85" s="1"/>
  <c r="H40" i="61"/>
  <c r="G42" i="84"/>
  <c r="I155" i="84" s="1"/>
  <c r="H165" i="84"/>
  <c r="I18" i="61" s="1"/>
  <c r="H166" i="84"/>
  <c r="H39" i="84"/>
  <c r="H44" i="84"/>
  <c r="I181" i="55"/>
  <c r="I194" i="55"/>
  <c r="I195" i="55"/>
  <c r="B15" i="21"/>
  <c r="C6" i="68" s="1"/>
  <c r="C152" i="29"/>
  <c r="C159" i="29" s="1"/>
  <c r="H156" i="72"/>
  <c r="G144" i="72"/>
  <c r="E9" i="85" s="1"/>
  <c r="E194" i="85" s="1"/>
  <c r="H138" i="72"/>
  <c r="H155" i="72"/>
  <c r="G8" i="61"/>
  <c r="F160" i="72" s="1"/>
  <c r="E161" i="72"/>
  <c r="E163" i="72" s="1"/>
  <c r="G154" i="72"/>
  <c r="G153" i="72"/>
  <c r="G51" i="61"/>
  <c r="G17" i="61"/>
  <c r="B19" i="21"/>
  <c r="D171" i="72"/>
  <c r="D173" i="72" s="1"/>
  <c r="B19" i="85"/>
  <c r="G61" i="72"/>
  <c r="I140" i="72" s="1"/>
  <c r="I150" i="72"/>
  <c r="G59" i="72"/>
  <c r="I139" i="72" s="1"/>
  <c r="I149" i="72"/>
  <c r="G64" i="72"/>
  <c r="I142" i="72"/>
  <c r="I152" i="72"/>
  <c r="H52" i="72"/>
  <c r="G63" i="72"/>
  <c r="I141" i="72" s="1"/>
  <c r="I151" i="72"/>
  <c r="H51" i="72"/>
  <c r="H49" i="72"/>
  <c r="H47" i="72"/>
  <c r="G91" i="72"/>
  <c r="G58" i="72"/>
  <c r="C122" i="29"/>
  <c r="C129" i="29" s="1"/>
  <c r="C167" i="29"/>
  <c r="C174" i="29" s="1"/>
  <c r="C32" i="29"/>
  <c r="C39" i="29" s="1"/>
  <c r="H78" i="55"/>
  <c r="H130" i="55" s="1"/>
  <c r="H29" i="72"/>
  <c r="H53" i="72" s="1"/>
  <c r="H65" i="72" s="1"/>
  <c r="H50" i="72"/>
  <c r="H62" i="72" s="1"/>
  <c r="H48" i="72"/>
  <c r="H60" i="72" s="1"/>
  <c r="H77" i="55"/>
  <c r="H129" i="55" s="1"/>
  <c r="I187" i="55"/>
  <c r="I192" i="55"/>
  <c r="F183" i="55"/>
  <c r="F37" i="61"/>
  <c r="F42" i="61" s="1"/>
  <c r="C8" i="85"/>
  <c r="C8" i="21"/>
  <c r="G16" i="61"/>
  <c r="G50" i="61"/>
  <c r="F12" i="61"/>
  <c r="E198" i="55"/>
  <c r="E199" i="55"/>
  <c r="F21" i="61"/>
  <c r="G7" i="61"/>
  <c r="E43" i="61"/>
  <c r="E45" i="61" s="1"/>
  <c r="E56" i="61" s="1"/>
  <c r="E57" i="61" s="1"/>
  <c r="J41" i="21" s="1"/>
  <c r="B10" i="69"/>
  <c r="C32" i="68" s="1"/>
  <c r="G189" i="55"/>
  <c r="G190" i="55"/>
  <c r="D209" i="55"/>
  <c r="D212" i="55" s="1"/>
  <c r="B18" i="85"/>
  <c r="B18" i="21"/>
  <c r="I251" i="53"/>
  <c r="I246" i="53"/>
  <c r="D22" i="85"/>
  <c r="H46" i="72"/>
  <c r="J148" i="72" s="1"/>
  <c r="F275" i="53"/>
  <c r="F277" i="53" s="1"/>
  <c r="I184" i="53"/>
  <c r="I48" i="61"/>
  <c r="E12" i="21"/>
  <c r="F36" i="29" s="1"/>
  <c r="I255" i="53"/>
  <c r="E12" i="85"/>
  <c r="E197" i="85" s="1"/>
  <c r="I6" i="61"/>
  <c r="G261" i="53"/>
  <c r="G263" i="53" s="1"/>
  <c r="I15" i="61"/>
  <c r="H261" i="53" s="1"/>
  <c r="H191" i="53"/>
  <c r="F12" i="21" s="1"/>
  <c r="J251" i="53"/>
  <c r="J187" i="53"/>
  <c r="J255" i="53"/>
  <c r="G32" i="72"/>
  <c r="G95" i="72"/>
  <c r="G96" i="72"/>
  <c r="J246" i="53"/>
  <c r="J182" i="53"/>
  <c r="I247" i="53"/>
  <c r="I183" i="53"/>
  <c r="J254" i="53"/>
  <c r="J248" i="53"/>
  <c r="J184" i="53"/>
  <c r="J252" i="53"/>
  <c r="J188" i="53"/>
  <c r="I254" i="53"/>
  <c r="J183" i="53"/>
  <c r="I252" i="53"/>
  <c r="I188" i="53"/>
  <c r="F10" i="55"/>
  <c r="F65" i="55"/>
  <c r="H33" i="55"/>
  <c r="F12" i="72"/>
  <c r="F35" i="72"/>
  <c r="H143" i="72" s="1"/>
  <c r="G33" i="55"/>
  <c r="O59" i="22"/>
  <c r="P56" i="22" s="1"/>
  <c r="P57" i="22" s="1"/>
  <c r="O58" i="22"/>
  <c r="N47" i="22"/>
  <c r="O44" i="22" s="1"/>
  <c r="O45" i="22" s="1"/>
  <c r="O47" i="22" s="1"/>
  <c r="P44" i="22" s="1"/>
  <c r="Q39" i="22"/>
  <c r="Q40" i="22" s="1"/>
  <c r="I52" i="22"/>
  <c r="I68" i="22" s="1"/>
  <c r="H68" i="22"/>
  <c r="O63" i="22"/>
  <c r="O64" i="22" s="1"/>
  <c r="F53" i="22"/>
  <c r="F66" i="22"/>
  <c r="E13" i="69" s="1"/>
  <c r="E15" i="69" s="1"/>
  <c r="M66" i="22"/>
  <c r="M51" i="22"/>
  <c r="M53" i="22" s="1"/>
  <c r="G53" i="61" l="1"/>
  <c r="J9" i="61"/>
  <c r="I174" i="84" s="1"/>
  <c r="H175" i="84"/>
  <c r="I9" i="61"/>
  <c r="H174" i="84" s="1"/>
  <c r="G175" i="84"/>
  <c r="G177" i="84" s="1"/>
  <c r="G186" i="84" s="1"/>
  <c r="G188" i="84" s="1"/>
  <c r="E123" i="29"/>
  <c r="E153" i="29"/>
  <c r="E33" i="29"/>
  <c r="E168" i="29"/>
  <c r="H144" i="72"/>
  <c r="I38" i="61" s="1"/>
  <c r="I168" i="84"/>
  <c r="I154" i="84"/>
  <c r="I159" i="84" s="1"/>
  <c r="I169" i="84"/>
  <c r="F13" i="21"/>
  <c r="F13" i="85"/>
  <c r="F198" i="85" s="1"/>
  <c r="I40" i="61"/>
  <c r="H67" i="84"/>
  <c r="J163" i="84"/>
  <c r="F127" i="29"/>
  <c r="F142" i="29"/>
  <c r="F172" i="29"/>
  <c r="F157" i="29"/>
  <c r="F37" i="29"/>
  <c r="H38" i="61"/>
  <c r="J181" i="55"/>
  <c r="J194" i="55"/>
  <c r="J195" i="55"/>
  <c r="H42" i="84"/>
  <c r="J155" i="84" s="1"/>
  <c r="I165" i="84"/>
  <c r="I166" i="84"/>
  <c r="B25" i="21"/>
  <c r="C132" i="29" s="1"/>
  <c r="C133" i="29" s="1"/>
  <c r="C134" i="29" s="1"/>
  <c r="J192" i="55"/>
  <c r="J187" i="55"/>
  <c r="E9" i="21"/>
  <c r="F138" i="29" s="1"/>
  <c r="I156" i="72"/>
  <c r="H17" i="61"/>
  <c r="H51" i="61"/>
  <c r="H154" i="72"/>
  <c r="H153" i="72"/>
  <c r="B25" i="85"/>
  <c r="B202" i="85" s="1"/>
  <c r="B204" i="85" s="1"/>
  <c r="B208" i="85" s="1"/>
  <c r="G55" i="61"/>
  <c r="D25" i="69" s="1"/>
  <c r="E12" i="68" s="1"/>
  <c r="I138" i="72"/>
  <c r="I155" i="72"/>
  <c r="H8" i="61"/>
  <c r="G160" i="72" s="1"/>
  <c r="F161" i="72"/>
  <c r="F163" i="72" s="1"/>
  <c r="C19" i="85"/>
  <c r="E171" i="72"/>
  <c r="E173" i="72" s="1"/>
  <c r="C19" i="21"/>
  <c r="H61" i="72"/>
  <c r="J140" i="72" s="1"/>
  <c r="J150" i="72"/>
  <c r="H63" i="72"/>
  <c r="J141" i="72" s="1"/>
  <c r="J151" i="72"/>
  <c r="H59" i="72"/>
  <c r="J139" i="72" s="1"/>
  <c r="J149" i="72"/>
  <c r="H64" i="72"/>
  <c r="J142" i="72"/>
  <c r="J152" i="72"/>
  <c r="H96" i="72"/>
  <c r="H95" i="72"/>
  <c r="H91" i="72"/>
  <c r="H58" i="72"/>
  <c r="E201" i="55"/>
  <c r="E209" i="55" s="1"/>
  <c r="E212" i="55" s="1"/>
  <c r="B24" i="69"/>
  <c r="C11" i="68" s="1"/>
  <c r="D11" i="62"/>
  <c r="D137" i="29"/>
  <c r="D144" i="29" s="1"/>
  <c r="D32" i="29"/>
  <c r="D39" i="29" s="1"/>
  <c r="D152" i="29"/>
  <c r="D159" i="29" s="1"/>
  <c r="D167" i="29"/>
  <c r="D174" i="29" s="1"/>
  <c r="D122" i="29"/>
  <c r="D129" i="29" s="1"/>
  <c r="C15" i="21"/>
  <c r="D6" i="68" s="1"/>
  <c r="F198" i="55"/>
  <c r="G12" i="61"/>
  <c r="C193" i="85"/>
  <c r="C200" i="85" s="1"/>
  <c r="C15" i="85"/>
  <c r="H190" i="55"/>
  <c r="H189" i="55"/>
  <c r="F43" i="61"/>
  <c r="F45" i="61" s="1"/>
  <c r="F56" i="61" s="1"/>
  <c r="C24" i="69" s="1"/>
  <c r="C10" i="69"/>
  <c r="D32" i="68" s="1"/>
  <c r="C9" i="69"/>
  <c r="D31" i="68" s="1"/>
  <c r="G183" i="55"/>
  <c r="H50" i="61"/>
  <c r="H16" i="61"/>
  <c r="H7" i="61"/>
  <c r="F199" i="55"/>
  <c r="G21" i="61"/>
  <c r="D8" i="85"/>
  <c r="D8" i="21"/>
  <c r="G37" i="61"/>
  <c r="G42" i="61" s="1"/>
  <c r="D9" i="69" s="1"/>
  <c r="F12" i="85"/>
  <c r="F197" i="85" s="1"/>
  <c r="I35" i="61"/>
  <c r="H32" i="72"/>
  <c r="H35" i="72" s="1"/>
  <c r="J143" i="72" s="1"/>
  <c r="H260" i="53"/>
  <c r="H263" i="53" s="1"/>
  <c r="F22" i="21" s="1"/>
  <c r="F126" i="29"/>
  <c r="F141" i="29"/>
  <c r="F171" i="29"/>
  <c r="J48" i="61"/>
  <c r="F156" i="29"/>
  <c r="J6" i="61"/>
  <c r="I260" i="53" s="1"/>
  <c r="J15" i="61"/>
  <c r="I191" i="53"/>
  <c r="G12" i="21" s="1"/>
  <c r="J191" i="53"/>
  <c r="H12" i="21" s="1"/>
  <c r="K15" i="61"/>
  <c r="H10" i="55"/>
  <c r="H65" i="55"/>
  <c r="G12" i="72"/>
  <c r="G35" i="72"/>
  <c r="I143" i="72" s="1"/>
  <c r="K48" i="61"/>
  <c r="E22" i="21"/>
  <c r="E22" i="85"/>
  <c r="G275" i="53"/>
  <c r="G277" i="53" s="1"/>
  <c r="G171" i="29"/>
  <c r="G141" i="29"/>
  <c r="G126" i="29"/>
  <c r="G36" i="29"/>
  <c r="G156" i="29"/>
  <c r="G10" i="55"/>
  <c r="G65" i="55"/>
  <c r="P58" i="22"/>
  <c r="O65" i="22"/>
  <c r="P62" i="22" s="1"/>
  <c r="P63" i="22" s="1"/>
  <c r="P64" i="22" s="1"/>
  <c r="Q41" i="22"/>
  <c r="P59" i="22"/>
  <c r="Q56" i="22" s="1"/>
  <c r="Q57" i="22" s="1"/>
  <c r="P45" i="22"/>
  <c r="P47" i="22" s="1"/>
  <c r="Q44" i="22" s="1"/>
  <c r="N50" i="22"/>
  <c r="M69" i="22"/>
  <c r="G50" i="22"/>
  <c r="F69" i="22"/>
  <c r="O46" i="22"/>
  <c r="M67" i="22"/>
  <c r="E45" i="29" s="1"/>
  <c r="M52" i="22"/>
  <c r="H177" i="84" l="1"/>
  <c r="I53" i="61" s="1"/>
  <c r="E23" i="85"/>
  <c r="H53" i="61"/>
  <c r="H55" i="61" s="1"/>
  <c r="E25" i="69" s="1"/>
  <c r="F12" i="68" s="1"/>
  <c r="E23" i="21"/>
  <c r="F23" i="21"/>
  <c r="J18" i="61"/>
  <c r="F9" i="21"/>
  <c r="G138" i="29" s="1"/>
  <c r="F9" i="85"/>
  <c r="F194" i="85" s="1"/>
  <c r="E21" i="62"/>
  <c r="C7" i="68" s="1"/>
  <c r="B33" i="69" s="1"/>
  <c r="C33" i="69" s="1"/>
  <c r="D33" i="69" s="1"/>
  <c r="E33" i="69" s="1"/>
  <c r="F33" i="69" s="1"/>
  <c r="G33" i="69" s="1"/>
  <c r="C18" i="21"/>
  <c r="C25" i="21" s="1"/>
  <c r="D162" i="29" s="1"/>
  <c r="D163" i="29" s="1"/>
  <c r="D164" i="29" s="1"/>
  <c r="I144" i="72"/>
  <c r="J38" i="61" s="1"/>
  <c r="J169" i="84"/>
  <c r="J154" i="84"/>
  <c r="J159" i="84" s="1"/>
  <c r="J168" i="84"/>
  <c r="G13" i="21"/>
  <c r="G13" i="85"/>
  <c r="G198" i="85" s="1"/>
  <c r="J40" i="61"/>
  <c r="G172" i="29"/>
  <c r="G127" i="29"/>
  <c r="G157" i="29"/>
  <c r="G142" i="29"/>
  <c r="G37" i="29"/>
  <c r="B38" i="21"/>
  <c r="B40" i="21" s="1"/>
  <c r="C109" i="29" s="1"/>
  <c r="C23" i="68"/>
  <c r="F33" i="29"/>
  <c r="J165" i="84"/>
  <c r="J166" i="84"/>
  <c r="C41" i="29"/>
  <c r="C43" i="29" s="1"/>
  <c r="C47" i="29" s="1"/>
  <c r="C177" i="29"/>
  <c r="C178" i="29" s="1"/>
  <c r="C179" i="29" s="1"/>
  <c r="F153" i="29"/>
  <c r="F23" i="85"/>
  <c r="H186" i="84"/>
  <c r="H188" i="84" s="1"/>
  <c r="C147" i="29"/>
  <c r="C148" i="29" s="1"/>
  <c r="C149" i="29" s="1"/>
  <c r="C162" i="29"/>
  <c r="C163" i="29" s="1"/>
  <c r="C164" i="29" s="1"/>
  <c r="F123" i="29"/>
  <c r="F168" i="29"/>
  <c r="B38" i="85"/>
  <c r="B40" i="85" s="1"/>
  <c r="B270" i="85" s="1"/>
  <c r="J156" i="72"/>
  <c r="I51" i="61"/>
  <c r="I17" i="61"/>
  <c r="J138" i="72"/>
  <c r="J144" i="72" s="1"/>
  <c r="J155" i="72"/>
  <c r="D19" i="21"/>
  <c r="F171" i="72"/>
  <c r="F173" i="72" s="1"/>
  <c r="D19" i="85"/>
  <c r="I154" i="72"/>
  <c r="I153" i="72"/>
  <c r="I8" i="61"/>
  <c r="H160" i="72" s="1"/>
  <c r="G161" i="72"/>
  <c r="G163" i="72" s="1"/>
  <c r="C29" i="68"/>
  <c r="B27" i="69"/>
  <c r="H12" i="72"/>
  <c r="D12" i="62"/>
  <c r="C18" i="85"/>
  <c r="C25" i="85" s="1"/>
  <c r="C38" i="85" s="1"/>
  <c r="C40" i="85" s="1"/>
  <c r="E31" i="68"/>
  <c r="C27" i="69"/>
  <c r="D29" i="68"/>
  <c r="D11" i="68"/>
  <c r="D13" i="68" s="1"/>
  <c r="G43" i="61"/>
  <c r="G45" i="61" s="1"/>
  <c r="G56" i="61" s="1"/>
  <c r="D24" i="69" s="1"/>
  <c r="D10" i="69"/>
  <c r="E32" i="68" s="1"/>
  <c r="I190" i="55"/>
  <c r="I189" i="55"/>
  <c r="E152" i="29"/>
  <c r="E159" i="29" s="1"/>
  <c r="E122" i="29"/>
  <c r="E129" i="29" s="1"/>
  <c r="E167" i="29"/>
  <c r="E174" i="29" s="1"/>
  <c r="E32" i="29"/>
  <c r="E39" i="29" s="1"/>
  <c r="E137" i="29"/>
  <c r="E144" i="29" s="1"/>
  <c r="D15" i="21"/>
  <c r="E6" i="68" s="1"/>
  <c r="G198" i="55"/>
  <c r="H12" i="61"/>
  <c r="I16" i="61"/>
  <c r="I50" i="61"/>
  <c r="H183" i="55"/>
  <c r="J189" i="55"/>
  <c r="J190" i="55"/>
  <c r="H37" i="61"/>
  <c r="H42" i="61" s="1"/>
  <c r="E9" i="69" s="1"/>
  <c r="F31" i="68" s="1"/>
  <c r="E8" i="85"/>
  <c r="E8" i="21"/>
  <c r="F201" i="55"/>
  <c r="D193" i="85"/>
  <c r="D200" i="85" s="1"/>
  <c r="D15" i="85"/>
  <c r="I7" i="61"/>
  <c r="G199" i="55"/>
  <c r="H21" i="61"/>
  <c r="K6" i="61"/>
  <c r="J260" i="53" s="1"/>
  <c r="H12" i="85"/>
  <c r="H197" i="85" s="1"/>
  <c r="I261" i="53"/>
  <c r="I263" i="53" s="1"/>
  <c r="G22" i="21" s="1"/>
  <c r="K35" i="61"/>
  <c r="G12" i="85"/>
  <c r="J35" i="61"/>
  <c r="J261" i="53"/>
  <c r="H275" i="53"/>
  <c r="H277" i="53" s="1"/>
  <c r="F22" i="85"/>
  <c r="I36" i="29"/>
  <c r="I171" i="29"/>
  <c r="I126" i="29"/>
  <c r="I156" i="29"/>
  <c r="I141" i="29"/>
  <c r="H36" i="29"/>
  <c r="H156" i="29"/>
  <c r="H141" i="29"/>
  <c r="H171" i="29"/>
  <c r="H126" i="29"/>
  <c r="Q58" i="22"/>
  <c r="P46" i="22"/>
  <c r="P65" i="22"/>
  <c r="Q62" i="22" s="1"/>
  <c r="Q63" i="22" s="1"/>
  <c r="Q64" i="22" s="1"/>
  <c r="N51" i="22"/>
  <c r="N67" i="22" s="1"/>
  <c r="F45" i="29" s="1"/>
  <c r="N66" i="22"/>
  <c r="Q45" i="22"/>
  <c r="M68" i="22"/>
  <c r="G66" i="22"/>
  <c r="F13" i="69" s="1"/>
  <c r="F15" i="69" s="1"/>
  <c r="G53" i="22"/>
  <c r="D98" i="22"/>
  <c r="D59" i="85"/>
  <c r="Q59" i="22"/>
  <c r="G33" i="29" l="1"/>
  <c r="G153" i="29"/>
  <c r="G168" i="29"/>
  <c r="K18" i="61"/>
  <c r="J175" i="84" s="1"/>
  <c r="I175" i="84"/>
  <c r="I177" i="84" s="1"/>
  <c r="G23" i="85" s="1"/>
  <c r="K9" i="61"/>
  <c r="J174" i="84" s="1"/>
  <c r="G123" i="29"/>
  <c r="G9" i="21"/>
  <c r="H168" i="29" s="1"/>
  <c r="G9" i="85"/>
  <c r="G194" i="85" s="1"/>
  <c r="B70" i="85"/>
  <c r="D22" i="29"/>
  <c r="E20" i="62"/>
  <c r="E22" i="62" s="1"/>
  <c r="H13" i="85"/>
  <c r="H198" i="85" s="1"/>
  <c r="K40" i="61"/>
  <c r="H13" i="21"/>
  <c r="H142" i="29"/>
  <c r="H157" i="29"/>
  <c r="H172" i="29"/>
  <c r="H37" i="29"/>
  <c r="H127" i="29"/>
  <c r="B45" i="21"/>
  <c r="D132" i="29"/>
  <c r="D133" i="29" s="1"/>
  <c r="D134" i="29" s="1"/>
  <c r="D23" i="68"/>
  <c r="D177" i="29"/>
  <c r="D178" i="29" s="1"/>
  <c r="D179" i="29" s="1"/>
  <c r="C38" i="21"/>
  <c r="C40" i="21" s="1"/>
  <c r="D109" i="29" s="1"/>
  <c r="I55" i="61"/>
  <c r="F25" i="69" s="1"/>
  <c r="G12" i="68" s="1"/>
  <c r="D41" i="29"/>
  <c r="D43" i="29" s="1"/>
  <c r="D47" i="29" s="1"/>
  <c r="D147" i="29"/>
  <c r="D148" i="29" s="1"/>
  <c r="D149" i="29" s="1"/>
  <c r="B45" i="85"/>
  <c r="H9" i="21"/>
  <c r="I123" i="29" s="1"/>
  <c r="H9" i="85"/>
  <c r="H194" i="85" s="1"/>
  <c r="K38" i="61"/>
  <c r="J154" i="72"/>
  <c r="J153" i="72"/>
  <c r="J51" i="61"/>
  <c r="J17" i="61"/>
  <c r="H161" i="72"/>
  <c r="H163" i="72" s="1"/>
  <c r="J8" i="61"/>
  <c r="I160" i="72" s="1"/>
  <c r="G171" i="72"/>
  <c r="G173" i="72" s="1"/>
  <c r="E19" i="85"/>
  <c r="E19" i="21"/>
  <c r="C94" i="29"/>
  <c r="C71" i="29"/>
  <c r="C83" i="29"/>
  <c r="C202" i="85"/>
  <c r="C204" i="85" s="1"/>
  <c r="C208" i="85" s="1"/>
  <c r="G201" i="55"/>
  <c r="G209" i="55" s="1"/>
  <c r="G212" i="55" s="1"/>
  <c r="I183" i="55"/>
  <c r="J37" i="61" s="1"/>
  <c r="J42" i="61" s="1"/>
  <c r="G9" i="69" s="1"/>
  <c r="E29" i="68"/>
  <c r="D27" i="69"/>
  <c r="E11" i="68"/>
  <c r="E13" i="68" s="1"/>
  <c r="J263" i="53"/>
  <c r="J275" i="53" s="1"/>
  <c r="J277" i="53" s="1"/>
  <c r="H198" i="55"/>
  <c r="I12" i="61"/>
  <c r="F8" i="21"/>
  <c r="F8" i="85"/>
  <c r="I37" i="61"/>
  <c r="I42" i="61" s="1"/>
  <c r="F9" i="69" s="1"/>
  <c r="G31" i="68" s="1"/>
  <c r="E193" i="85"/>
  <c r="E200" i="85" s="1"/>
  <c r="E15" i="85"/>
  <c r="G8" i="21"/>
  <c r="D18" i="85"/>
  <c r="D25" i="85" s="1"/>
  <c r="F209" i="55"/>
  <c r="F212" i="55" s="1"/>
  <c r="D18" i="21"/>
  <c r="D25" i="21" s="1"/>
  <c r="H199" i="55"/>
  <c r="J7" i="61"/>
  <c r="I21" i="61"/>
  <c r="K50" i="61"/>
  <c r="K16" i="61"/>
  <c r="C45" i="85"/>
  <c r="C270" i="85"/>
  <c r="J16" i="61"/>
  <c r="J50" i="61"/>
  <c r="G197" i="85"/>
  <c r="E10" i="69"/>
  <c r="F32" i="68" s="1"/>
  <c r="H43" i="61"/>
  <c r="H45" i="61" s="1"/>
  <c r="H56" i="61" s="1"/>
  <c r="E24" i="69" s="1"/>
  <c r="F152" i="29"/>
  <c r="F159" i="29" s="1"/>
  <c r="F137" i="29"/>
  <c r="F144" i="29" s="1"/>
  <c r="F167" i="29"/>
  <c r="F174" i="29" s="1"/>
  <c r="F122" i="29"/>
  <c r="F129" i="29" s="1"/>
  <c r="F32" i="29"/>
  <c r="F39" i="29" s="1"/>
  <c r="E15" i="21"/>
  <c r="F6" i="68" s="1"/>
  <c r="J183" i="55"/>
  <c r="G22" i="85"/>
  <c r="I275" i="53"/>
  <c r="I277" i="53" s="1"/>
  <c r="H22" i="85"/>
  <c r="Q46" i="22"/>
  <c r="N53" i="22"/>
  <c r="N69" i="22" s="1"/>
  <c r="N52" i="22"/>
  <c r="N68" i="22" s="1"/>
  <c r="Q65" i="22"/>
  <c r="H50" i="22"/>
  <c r="G69" i="22"/>
  <c r="Q47" i="22"/>
  <c r="E98" i="22"/>
  <c r="E59" i="85"/>
  <c r="H33" i="69"/>
  <c r="J177" i="84" l="1"/>
  <c r="H23" i="21" s="1"/>
  <c r="I186" i="84"/>
  <c r="I188" i="84" s="1"/>
  <c r="I153" i="29"/>
  <c r="G23" i="21"/>
  <c r="J53" i="61"/>
  <c r="J55" i="61" s="1"/>
  <c r="G25" i="69" s="1"/>
  <c r="H12" i="68" s="1"/>
  <c r="H33" i="29"/>
  <c r="H123" i="29"/>
  <c r="H153" i="29"/>
  <c r="H138" i="29"/>
  <c r="C10" i="68"/>
  <c r="C13" i="68" s="1"/>
  <c r="G8" i="85"/>
  <c r="G193" i="85" s="1"/>
  <c r="G200" i="85" s="1"/>
  <c r="I127" i="29"/>
  <c r="I157" i="29"/>
  <c r="I172" i="29"/>
  <c r="I142" i="29"/>
  <c r="I37" i="29"/>
  <c r="I33" i="29"/>
  <c r="C45" i="21"/>
  <c r="I138" i="29"/>
  <c r="I168" i="29"/>
  <c r="J186" i="84"/>
  <c r="J188" i="84" s="1"/>
  <c r="H23" i="85"/>
  <c r="K8" i="61"/>
  <c r="J160" i="72" s="1"/>
  <c r="I161" i="72"/>
  <c r="I163" i="72" s="1"/>
  <c r="H171" i="72"/>
  <c r="H173" i="72" s="1"/>
  <c r="F19" i="85"/>
  <c r="F19" i="21"/>
  <c r="K17" i="61"/>
  <c r="J161" i="72" s="1"/>
  <c r="K51" i="61"/>
  <c r="K55" i="61" s="1"/>
  <c r="H25" i="69" s="1"/>
  <c r="H31" i="68"/>
  <c r="D4" i="23"/>
  <c r="C10" i="23" s="1"/>
  <c r="F77" i="86"/>
  <c r="F78" i="86" s="1"/>
  <c r="E18" i="85"/>
  <c r="E25" i="85" s="1"/>
  <c r="E38" i="85" s="1"/>
  <c r="E40" i="85" s="1"/>
  <c r="E18" i="21"/>
  <c r="E25" i="21" s="1"/>
  <c r="E38" i="21" s="1"/>
  <c r="E40" i="21" s="1"/>
  <c r="H22" i="21"/>
  <c r="H201" i="55"/>
  <c r="H209" i="55" s="1"/>
  <c r="H212" i="55" s="1"/>
  <c r="F29" i="68"/>
  <c r="F11" i="68"/>
  <c r="F13" i="68" s="1"/>
  <c r="E27" i="69"/>
  <c r="I199" i="55"/>
  <c r="K7" i="61"/>
  <c r="J21" i="61"/>
  <c r="E147" i="29"/>
  <c r="E148" i="29" s="1"/>
  <c r="E149" i="29" s="1"/>
  <c r="E132" i="29"/>
  <c r="E133" i="29" s="1"/>
  <c r="E134" i="29" s="1"/>
  <c r="E177" i="29"/>
  <c r="E178" i="29" s="1"/>
  <c r="E179" i="29" s="1"/>
  <c r="E41" i="29"/>
  <c r="E43" i="29" s="1"/>
  <c r="E47" i="29" s="1"/>
  <c r="D38" i="21"/>
  <c r="D40" i="21" s="1"/>
  <c r="E23" i="68"/>
  <c r="E162" i="29"/>
  <c r="E163" i="29" s="1"/>
  <c r="E164" i="29" s="1"/>
  <c r="F193" i="85"/>
  <c r="F200" i="85" s="1"/>
  <c r="F15" i="85"/>
  <c r="J199" i="55"/>
  <c r="H8" i="21"/>
  <c r="K37" i="61"/>
  <c r="K42" i="61" s="1"/>
  <c r="H8" i="85"/>
  <c r="F10" i="69"/>
  <c r="G32" i="68" s="1"/>
  <c r="I43" i="61"/>
  <c r="I45" i="61" s="1"/>
  <c r="I56" i="61" s="1"/>
  <c r="F24" i="69" s="1"/>
  <c r="G32" i="29"/>
  <c r="G39" i="29" s="1"/>
  <c r="G167" i="29"/>
  <c r="G174" i="29" s="1"/>
  <c r="G122" i="29"/>
  <c r="G129" i="29" s="1"/>
  <c r="G137" i="29"/>
  <c r="G144" i="29" s="1"/>
  <c r="G152" i="29"/>
  <c r="G159" i="29" s="1"/>
  <c r="F15" i="21"/>
  <c r="G6" i="68" s="1"/>
  <c r="I198" i="55"/>
  <c r="J12" i="61"/>
  <c r="D202" i="85"/>
  <c r="D204" i="85" s="1"/>
  <c r="D208" i="85" s="1"/>
  <c r="D38" i="85"/>
  <c r="D40" i="85" s="1"/>
  <c r="H137" i="29"/>
  <c r="H167" i="29"/>
  <c r="H174" i="29" s="1"/>
  <c r="H152" i="29"/>
  <c r="H122" i="29"/>
  <c r="H32" i="29"/>
  <c r="G15" i="21"/>
  <c r="H6" i="68" s="1"/>
  <c r="B176" i="85"/>
  <c r="C183" i="85" s="1"/>
  <c r="B74" i="85"/>
  <c r="C76" i="85"/>
  <c r="D76" i="85" s="1"/>
  <c r="F76" i="85" s="1"/>
  <c r="E76" i="85" s="1"/>
  <c r="G76" i="85" s="1"/>
  <c r="C77" i="85" s="1"/>
  <c r="D77" i="85" s="1"/>
  <c r="O50" i="22"/>
  <c r="O51" i="22" s="1"/>
  <c r="O53" i="22" s="1"/>
  <c r="H53" i="22"/>
  <c r="H66" i="22"/>
  <c r="G13" i="69" s="1"/>
  <c r="G15" i="69" s="1"/>
  <c r="H129" i="29" l="1"/>
  <c r="H144" i="29"/>
  <c r="H39" i="29"/>
  <c r="H159" i="29"/>
  <c r="G15" i="85"/>
  <c r="I12" i="68"/>
  <c r="J163" i="72"/>
  <c r="H19" i="85" s="1"/>
  <c r="G19" i="85"/>
  <c r="G19" i="21"/>
  <c r="I171" i="72"/>
  <c r="I173" i="72" s="1"/>
  <c r="K21" i="61"/>
  <c r="H10" i="69" s="1"/>
  <c r="D8" i="23"/>
  <c r="C15" i="29"/>
  <c r="E202" i="85"/>
  <c r="E204" i="85" s="1"/>
  <c r="E208" i="85" s="1"/>
  <c r="F147" i="29"/>
  <c r="F148" i="29" s="1"/>
  <c r="F149" i="29" s="1"/>
  <c r="F132" i="29"/>
  <c r="F133" i="29" s="1"/>
  <c r="F134" i="29" s="1"/>
  <c r="F162" i="29"/>
  <c r="F163" i="29" s="1"/>
  <c r="F164" i="29" s="1"/>
  <c r="F23" i="68"/>
  <c r="F177" i="29"/>
  <c r="F178" i="29" s="1"/>
  <c r="F179" i="29" s="1"/>
  <c r="F41" i="29"/>
  <c r="F43" i="29" s="1"/>
  <c r="F47" i="29" s="1"/>
  <c r="I201" i="55"/>
  <c r="I209" i="55" s="1"/>
  <c r="I212" i="55" s="1"/>
  <c r="F18" i="21"/>
  <c r="F25" i="21" s="1"/>
  <c r="G132" i="29" s="1"/>
  <c r="G133" i="29" s="1"/>
  <c r="G134" i="29" s="1"/>
  <c r="F18" i="85"/>
  <c r="F25" i="85" s="1"/>
  <c r="F202" i="85" s="1"/>
  <c r="F204" i="85" s="1"/>
  <c r="F208" i="85" s="1"/>
  <c r="F109" i="29"/>
  <c r="E45" i="21"/>
  <c r="H193" i="85"/>
  <c r="H200" i="85" s="1"/>
  <c r="H15" i="85"/>
  <c r="G10" i="69"/>
  <c r="H32" i="68" s="1"/>
  <c r="J43" i="61"/>
  <c r="J45" i="61" s="1"/>
  <c r="J56" i="61" s="1"/>
  <c r="G24" i="69" s="1"/>
  <c r="H9" i="69"/>
  <c r="I31" i="68" s="1"/>
  <c r="J198" i="55"/>
  <c r="J201" i="55" s="1"/>
  <c r="K12" i="61"/>
  <c r="E45" i="85"/>
  <c r="E270" i="85"/>
  <c r="D45" i="85"/>
  <c r="D270" i="85"/>
  <c r="G29" i="68"/>
  <c r="G11" i="68"/>
  <c r="G13" i="68" s="1"/>
  <c r="F27" i="69"/>
  <c r="I137" i="29"/>
  <c r="I144" i="29" s="1"/>
  <c r="I122" i="29"/>
  <c r="I129" i="29" s="1"/>
  <c r="I32" i="29"/>
  <c r="I39" i="29" s="1"/>
  <c r="I152" i="29"/>
  <c r="I159" i="29" s="1"/>
  <c r="I167" i="29"/>
  <c r="I174" i="29" s="1"/>
  <c r="H15" i="21"/>
  <c r="I6" i="68" s="1"/>
  <c r="D45" i="21"/>
  <c r="E109" i="29"/>
  <c r="B232" i="85"/>
  <c r="B244" i="85" s="1"/>
  <c r="B255" i="85" s="1"/>
  <c r="D10" i="23"/>
  <c r="F10" i="23" s="1"/>
  <c r="E10" i="23" s="1"/>
  <c r="G10" i="23" s="1"/>
  <c r="C11" i="23" s="1"/>
  <c r="F98" i="85"/>
  <c r="F114" i="85"/>
  <c r="F128" i="85"/>
  <c r="F146" i="85"/>
  <c r="F95" i="85"/>
  <c r="F106" i="85"/>
  <c r="F86" i="85"/>
  <c r="F115" i="85"/>
  <c r="F126" i="85"/>
  <c r="F111" i="85"/>
  <c r="F149" i="85"/>
  <c r="F102" i="85"/>
  <c r="F144" i="85"/>
  <c r="F109" i="85"/>
  <c r="F139" i="85"/>
  <c r="F157" i="85"/>
  <c r="F101" i="85"/>
  <c r="F113" i="85"/>
  <c r="F137" i="85"/>
  <c r="F124" i="85"/>
  <c r="F89" i="85"/>
  <c r="F143" i="85"/>
  <c r="F103" i="85"/>
  <c r="F84" i="85"/>
  <c r="F100" i="85"/>
  <c r="F118" i="85"/>
  <c r="F132" i="85"/>
  <c r="F147" i="85"/>
  <c r="F96" i="85"/>
  <c r="F107" i="85"/>
  <c r="F87" i="85"/>
  <c r="F116" i="85"/>
  <c r="F127" i="85"/>
  <c r="F120" i="85"/>
  <c r="F150" i="85"/>
  <c r="F112" i="85"/>
  <c r="F145" i="85"/>
  <c r="F119" i="85"/>
  <c r="F140" i="85"/>
  <c r="F158" i="85"/>
  <c r="F133" i="85"/>
  <c r="F134" i="85"/>
  <c r="F152" i="85"/>
  <c r="F108" i="85"/>
  <c r="F155" i="85"/>
  <c r="F85" i="85"/>
  <c r="F125" i="85"/>
  <c r="F148" i="85"/>
  <c r="F93" i="85"/>
  <c r="F156" i="85"/>
  <c r="F135" i="85"/>
  <c r="F90" i="85"/>
  <c r="F104" i="85"/>
  <c r="F122" i="85"/>
  <c r="F138" i="85"/>
  <c r="F151" i="85"/>
  <c r="F97" i="85"/>
  <c r="F123" i="85"/>
  <c r="F88" i="85"/>
  <c r="F117" i="85"/>
  <c r="F92" i="85"/>
  <c r="F129" i="85"/>
  <c r="F83" i="85"/>
  <c r="F131" i="85"/>
  <c r="F91" i="85"/>
  <c r="F121" i="85"/>
  <c r="F141" i="85"/>
  <c r="F159" i="85"/>
  <c r="F154" i="85"/>
  <c r="F136" i="85"/>
  <c r="F153" i="85"/>
  <c r="F94" i="85"/>
  <c r="F142" i="85"/>
  <c r="F105" i="85"/>
  <c r="F110" i="85"/>
  <c r="F99" i="85"/>
  <c r="F130" i="85"/>
  <c r="F82" i="85"/>
  <c r="O66" i="22"/>
  <c r="I50" i="22"/>
  <c r="H69" i="22"/>
  <c r="P50" i="22"/>
  <c r="O69" i="22"/>
  <c r="O67" i="22"/>
  <c r="G45" i="29" s="1"/>
  <c r="O52" i="22"/>
  <c r="F77" i="85"/>
  <c r="H19" i="21" l="1"/>
  <c r="K43" i="61"/>
  <c r="K45" i="61" s="1"/>
  <c r="K56" i="61" s="1"/>
  <c r="H24" i="69" s="1"/>
  <c r="I11" i="68" s="1"/>
  <c r="I13" i="68" s="1"/>
  <c r="J171" i="72"/>
  <c r="J173" i="72" s="1"/>
  <c r="F49" i="23"/>
  <c r="F38" i="23"/>
  <c r="F60" i="23"/>
  <c r="F31" i="23"/>
  <c r="F16" i="23"/>
  <c r="F48" i="23"/>
  <c r="F32" i="23"/>
  <c r="F25" i="23"/>
  <c r="F62" i="23"/>
  <c r="F64" i="23"/>
  <c r="F39" i="23"/>
  <c r="F18" i="23"/>
  <c r="F54" i="23"/>
  <c r="F56" i="23"/>
  <c r="F46" i="23"/>
  <c r="F59" i="23"/>
  <c r="F37" i="23"/>
  <c r="F45" i="23"/>
  <c r="F50" i="23"/>
  <c r="F65" i="23"/>
  <c r="F61" i="23"/>
  <c r="F27" i="23"/>
  <c r="F42" i="23"/>
  <c r="F36" i="23"/>
  <c r="F57" i="23"/>
  <c r="F52" i="23"/>
  <c r="F26" i="23"/>
  <c r="F24" i="23"/>
  <c r="F66" i="23"/>
  <c r="F69" i="23"/>
  <c r="F28" i="23"/>
  <c r="F53" i="23"/>
  <c r="F22" i="23"/>
  <c r="F20" i="23"/>
  <c r="F68" i="23"/>
  <c r="F51" i="23"/>
  <c r="F63" i="23"/>
  <c r="F21" i="23"/>
  <c r="F19" i="23"/>
  <c r="F33" i="23"/>
  <c r="F47" i="23"/>
  <c r="F23" i="23"/>
  <c r="F30" i="23"/>
  <c r="F29" i="23"/>
  <c r="F41" i="23"/>
  <c r="F35" i="23"/>
  <c r="F43" i="23"/>
  <c r="F34" i="23"/>
  <c r="F40" i="23"/>
  <c r="F17" i="23"/>
  <c r="F55" i="23"/>
  <c r="F67" i="23"/>
  <c r="F58" i="23"/>
  <c r="F44" i="23"/>
  <c r="G18" i="85"/>
  <c r="G25" i="85" s="1"/>
  <c r="G202" i="85" s="1"/>
  <c r="G204" i="85" s="1"/>
  <c r="G208" i="85" s="1"/>
  <c r="G177" i="29"/>
  <c r="G178" i="29" s="1"/>
  <c r="G179" i="29" s="1"/>
  <c r="G147" i="29"/>
  <c r="G148" i="29" s="1"/>
  <c r="G149" i="29" s="1"/>
  <c r="G18" i="21"/>
  <c r="G25" i="21" s="1"/>
  <c r="H162" i="29" s="1"/>
  <c r="H163" i="29" s="1"/>
  <c r="H164" i="29" s="1"/>
  <c r="G162" i="29"/>
  <c r="G163" i="29" s="1"/>
  <c r="G164" i="29" s="1"/>
  <c r="F38" i="85"/>
  <c r="F40" i="85" s="1"/>
  <c r="F270" i="85" s="1"/>
  <c r="G23" i="68"/>
  <c r="G41" i="29"/>
  <c r="G43" i="29" s="1"/>
  <c r="G47" i="29" s="1"/>
  <c r="F38" i="21"/>
  <c r="F40" i="21" s="1"/>
  <c r="G109" i="29" s="1"/>
  <c r="H29" i="68"/>
  <c r="G27" i="69"/>
  <c r="H11" i="68"/>
  <c r="H13" i="68" s="1"/>
  <c r="I32" i="68"/>
  <c r="H18" i="21"/>
  <c r="H18" i="85"/>
  <c r="H25" i="85" s="1"/>
  <c r="J209" i="55"/>
  <c r="J212" i="55" s="1"/>
  <c r="D11" i="23"/>
  <c r="F11" i="23" s="1"/>
  <c r="E11" i="23" s="1"/>
  <c r="G11" i="23" s="1"/>
  <c r="C12" i="23" s="1"/>
  <c r="D12" i="23" s="1"/>
  <c r="F276" i="85"/>
  <c r="H276" i="85"/>
  <c r="C276" i="85"/>
  <c r="G276" i="85"/>
  <c r="E276" i="85"/>
  <c r="D276" i="85"/>
  <c r="P51" i="22"/>
  <c r="P67" i="22" s="1"/>
  <c r="H45" i="29" s="1"/>
  <c r="P66" i="22"/>
  <c r="O68" i="22"/>
  <c r="F98" i="22"/>
  <c r="F59" i="85"/>
  <c r="I53" i="22"/>
  <c r="I69" i="22" s="1"/>
  <c r="I66" i="22"/>
  <c r="H13" i="69" s="1"/>
  <c r="H15" i="69" s="1"/>
  <c r="E77" i="85"/>
  <c r="G77" i="85" s="1"/>
  <c r="C78" i="85" s="1"/>
  <c r="H25" i="21" l="1"/>
  <c r="I41" i="29" s="1"/>
  <c r="I43" i="29" s="1"/>
  <c r="I29" i="68"/>
  <c r="H27" i="69"/>
  <c r="H31" i="69" s="1"/>
  <c r="G38" i="85"/>
  <c r="G40" i="85" s="1"/>
  <c r="G270" i="85" s="1"/>
  <c r="H132" i="29"/>
  <c r="H133" i="29" s="1"/>
  <c r="H134" i="29" s="1"/>
  <c r="H23" i="68"/>
  <c r="H41" i="29"/>
  <c r="H43" i="29" s="1"/>
  <c r="H47" i="29" s="1"/>
  <c r="H177" i="29"/>
  <c r="H178" i="29" s="1"/>
  <c r="H179" i="29" s="1"/>
  <c r="H147" i="29"/>
  <c r="H148" i="29" s="1"/>
  <c r="H149" i="29" s="1"/>
  <c r="G38" i="21"/>
  <c r="G40" i="21" s="1"/>
  <c r="G45" i="21" s="1"/>
  <c r="F45" i="85"/>
  <c r="F45" i="21"/>
  <c r="H38" i="85"/>
  <c r="H40" i="85" s="1"/>
  <c r="H202" i="85"/>
  <c r="H204" i="85" s="1"/>
  <c r="H208" i="85" s="1"/>
  <c r="B210" i="85" s="1"/>
  <c r="P52" i="22"/>
  <c r="P68" i="22" s="1"/>
  <c r="P53" i="22"/>
  <c r="Q50" i="22" s="1"/>
  <c r="G98" i="22"/>
  <c r="G59" i="85"/>
  <c r="D78" i="85"/>
  <c r="F12" i="23"/>
  <c r="E12" i="23" s="1"/>
  <c r="I177" i="29" l="1"/>
  <c r="I178" i="29" s="1"/>
  <c r="I179" i="29" s="1"/>
  <c r="I162" i="29"/>
  <c r="I163" i="29" s="1"/>
  <c r="I164" i="29" s="1"/>
  <c r="H38" i="21"/>
  <c r="H40" i="21" s="1"/>
  <c r="H45" i="21" s="1"/>
  <c r="I23" i="68"/>
  <c r="I132" i="29"/>
  <c r="I133" i="29" s="1"/>
  <c r="I134" i="29" s="1"/>
  <c r="I147" i="29"/>
  <c r="I148" i="29" s="1"/>
  <c r="I149" i="29" s="1"/>
  <c r="G45" i="85"/>
  <c r="H109" i="29"/>
  <c r="H270" i="85"/>
  <c r="H45" i="85"/>
  <c r="P69" i="22"/>
  <c r="Q51" i="22"/>
  <c r="Q53" i="22" s="1"/>
  <c r="Q69" i="22" s="1"/>
  <c r="Q66" i="22"/>
  <c r="G12" i="23"/>
  <c r="C13" i="23" s="1"/>
  <c r="F78" i="85"/>
  <c r="I109" i="29" l="1"/>
  <c r="Q67" i="22"/>
  <c r="Q52" i="22"/>
  <c r="Q68" i="22" s="1"/>
  <c r="E78" i="85"/>
  <c r="G78" i="85" s="1"/>
  <c r="C79" i="85" s="1"/>
  <c r="D13" i="23"/>
  <c r="I45" i="29" l="1"/>
  <c r="I47" i="29" s="1"/>
  <c r="C49" i="29" s="1"/>
  <c r="D28" i="62" s="1"/>
  <c r="H98" i="22"/>
  <c r="H59" i="85"/>
  <c r="F13" i="23"/>
  <c r="E13" i="23" s="1"/>
  <c r="D79" i="85"/>
  <c r="F79" i="85" l="1"/>
  <c r="G13" i="23"/>
  <c r="C14" i="23" s="1"/>
  <c r="D14" i="23" l="1"/>
  <c r="E79" i="85"/>
  <c r="G79" i="85" s="1"/>
  <c r="C80" i="85" s="1"/>
  <c r="D80" i="85" l="1"/>
  <c r="F14" i="23"/>
  <c r="E14" i="23" s="1"/>
  <c r="G14" i="23" l="1"/>
  <c r="C15" i="23" s="1"/>
  <c r="F80" i="85"/>
  <c r="E80" i="85" l="1"/>
  <c r="G80" i="85" s="1"/>
  <c r="C81" i="85" s="1"/>
  <c r="D15" i="23"/>
  <c r="F15" i="23" s="1"/>
  <c r="E15" i="23" s="1"/>
  <c r="G15" i="23" s="1"/>
  <c r="C16" i="23" s="1"/>
  <c r="D16" i="23" l="1"/>
  <c r="E16" i="23" s="1"/>
  <c r="G16" i="23" s="1"/>
  <c r="C17" i="23" s="1"/>
  <c r="D81" i="85"/>
  <c r="F81" i="85" s="1"/>
  <c r="D17" i="23" l="1"/>
  <c r="E17" i="23" s="1"/>
  <c r="G17" i="23" s="1"/>
  <c r="C18" i="23" s="1"/>
  <c r="E81" i="85"/>
  <c r="G81" i="85" s="1"/>
  <c r="C82" i="85" s="1"/>
  <c r="B276" i="85"/>
  <c r="D18" i="23" l="1"/>
  <c r="E18" i="23" s="1"/>
  <c r="G18" i="23" s="1"/>
  <c r="C19" i="23" s="1"/>
  <c r="D82" i="85"/>
  <c r="E82" i="85" s="1"/>
  <c r="G82" i="85" s="1"/>
  <c r="C83" i="85" s="1"/>
  <c r="D83" i="85" l="1"/>
  <c r="E83" i="85" s="1"/>
  <c r="G83" i="85" s="1"/>
  <c r="C84" i="85" s="1"/>
  <c r="D19" i="23"/>
  <c r="E19" i="23" s="1"/>
  <c r="G19" i="23" s="1"/>
  <c r="C20" i="23" s="1"/>
  <c r="D84" i="85" l="1"/>
  <c r="E84" i="85" s="1"/>
  <c r="G84" i="85" s="1"/>
  <c r="C85" i="85" s="1"/>
  <c r="D20" i="23"/>
  <c r="E20" i="23" s="1"/>
  <c r="G20" i="23" s="1"/>
  <c r="C21" i="23" s="1"/>
  <c r="D85" i="85" l="1"/>
  <c r="E85" i="85" s="1"/>
  <c r="G85" i="85" s="1"/>
  <c r="C86" i="85" s="1"/>
  <c r="D21" i="23"/>
  <c r="D86" i="85" l="1"/>
  <c r="E86" i="85" s="1"/>
  <c r="G86" i="85" s="1"/>
  <c r="C87" i="85" s="1"/>
  <c r="E21" i="23"/>
  <c r="C27" i="68"/>
  <c r="D87" i="85" l="1"/>
  <c r="B47" i="21"/>
  <c r="B49" i="21" s="1"/>
  <c r="C110" i="29"/>
  <c r="C26" i="68"/>
  <c r="G21" i="23"/>
  <c r="B96" i="22" l="1"/>
  <c r="B99" i="22" s="1"/>
  <c r="B100" i="22" s="1"/>
  <c r="B50" i="21" s="1"/>
  <c r="C30" i="68" s="1"/>
  <c r="C33" i="68" s="1"/>
  <c r="C34" i="68" s="1"/>
  <c r="C36" i="68" s="1"/>
  <c r="J40" i="21"/>
  <c r="J42" i="21" s="1"/>
  <c r="C22" i="23"/>
  <c r="B28" i="69"/>
  <c r="B31" i="69" s="1"/>
  <c r="E87" i="85"/>
  <c r="G87" i="85" s="1"/>
  <c r="C88" i="85" s="1"/>
  <c r="B47" i="85"/>
  <c r="B49" i="85" s="1"/>
  <c r="B273" i="85"/>
  <c r="B274" i="85" s="1"/>
  <c r="B278" i="85" s="1"/>
  <c r="C112" i="29"/>
  <c r="C114" i="29" s="1"/>
  <c r="D35" i="68" l="1"/>
  <c r="B8" i="69"/>
  <c r="B11" i="69" s="1"/>
  <c r="B20" i="69" s="1"/>
  <c r="B57" i="85"/>
  <c r="B60" i="85" s="1"/>
  <c r="B61" i="85" s="1"/>
  <c r="B50" i="85" s="1"/>
  <c r="B51" i="85" s="1"/>
  <c r="D22" i="23"/>
  <c r="D88" i="85"/>
  <c r="B51" i="21"/>
  <c r="C256" i="85" l="1"/>
  <c r="C259" i="85" s="1"/>
  <c r="C260" i="85" s="1"/>
  <c r="B241" i="85"/>
  <c r="B219" i="85"/>
  <c r="B224" i="85" s="1"/>
  <c r="B228" i="85" s="1"/>
  <c r="C170" i="85"/>
  <c r="C175" i="85" s="1"/>
  <c r="C80" i="29"/>
  <c r="D95" i="29"/>
  <c r="D98" i="29" s="1"/>
  <c r="D99" i="29" s="1"/>
  <c r="B53" i="21"/>
  <c r="C58" i="29"/>
  <c r="C63" i="29" s="1"/>
  <c r="C67" i="29" s="1"/>
  <c r="D9" i="29"/>
  <c r="D14" i="29" s="1"/>
  <c r="E22" i="23"/>
  <c r="E88" i="85"/>
  <c r="G88" i="85" s="1"/>
  <c r="C89" i="85" s="1"/>
  <c r="C176" i="85" l="1"/>
  <c r="G22" i="23"/>
  <c r="C23" i="23" s="1"/>
  <c r="B37" i="69"/>
  <c r="B39" i="69" s="1"/>
  <c r="D89" i="85"/>
  <c r="D15" i="29"/>
  <c r="C36" i="69" l="1"/>
  <c r="B41" i="69"/>
  <c r="B43" i="69" s="1"/>
  <c r="B46" i="69" s="1"/>
  <c r="E89" i="85"/>
  <c r="G89" i="85" s="1"/>
  <c r="C90" i="85" s="1"/>
  <c r="D23" i="23"/>
  <c r="E23" i="23" l="1"/>
  <c r="D90" i="85"/>
  <c r="E90" i="85" l="1"/>
  <c r="G90" i="85" s="1"/>
  <c r="C91" i="85" s="1"/>
  <c r="G23" i="23"/>
  <c r="C24" i="23" s="1"/>
  <c r="D24" i="23" l="1"/>
  <c r="D91" i="85"/>
  <c r="E24" i="23" l="1"/>
  <c r="E91" i="85"/>
  <c r="G91" i="85" s="1"/>
  <c r="C92" i="85" s="1"/>
  <c r="D92" i="85" l="1"/>
  <c r="G24" i="23"/>
  <c r="C25" i="23" s="1"/>
  <c r="D25" i="23" l="1"/>
  <c r="E92" i="85"/>
  <c r="G92" i="85" s="1"/>
  <c r="C93" i="85" s="1"/>
  <c r="E25" i="23" l="1"/>
  <c r="D93" i="85"/>
  <c r="E93" i="85" s="1"/>
  <c r="G93" i="85" s="1"/>
  <c r="C94" i="85" s="1"/>
  <c r="D94" i="85" l="1"/>
  <c r="E94" i="85" s="1"/>
  <c r="G94" i="85" s="1"/>
  <c r="C95" i="85" s="1"/>
  <c r="G25" i="23"/>
  <c r="C26" i="23" s="1"/>
  <c r="D26" i="23" l="1"/>
  <c r="D95" i="85"/>
  <c r="E95" i="85" s="1"/>
  <c r="G95" i="85" s="1"/>
  <c r="C96" i="85" s="1"/>
  <c r="D96" i="85" l="1"/>
  <c r="E96" i="85" s="1"/>
  <c r="G96" i="85" s="1"/>
  <c r="C97" i="85" s="1"/>
  <c r="E26" i="23"/>
  <c r="D97" i="85" l="1"/>
  <c r="E97" i="85" s="1"/>
  <c r="G97" i="85" s="1"/>
  <c r="C98" i="85" s="1"/>
  <c r="G26" i="23"/>
  <c r="C27" i="23" s="1"/>
  <c r="D27" i="23" l="1"/>
  <c r="E27" i="23" s="1"/>
  <c r="G27" i="23" s="1"/>
  <c r="C28" i="23" s="1"/>
  <c r="D98" i="85"/>
  <c r="E98" i="85" s="1"/>
  <c r="G98" i="85" s="1"/>
  <c r="C99" i="85" s="1"/>
  <c r="D99" i="85" l="1"/>
  <c r="D28" i="23"/>
  <c r="E28" i="23" s="1"/>
  <c r="G28" i="23" s="1"/>
  <c r="C29" i="23" s="1"/>
  <c r="D29" i="23" l="1"/>
  <c r="E29" i="23" s="1"/>
  <c r="G29" i="23" s="1"/>
  <c r="C30" i="23" s="1"/>
  <c r="E99" i="85"/>
  <c r="G99" i="85" s="1"/>
  <c r="C100" i="85" s="1"/>
  <c r="C47" i="85"/>
  <c r="C49" i="85" s="1"/>
  <c r="C273" i="85"/>
  <c r="C274" i="85" s="1"/>
  <c r="C278" i="85" s="1"/>
  <c r="D30" i="23" l="1"/>
  <c r="E30" i="23" s="1"/>
  <c r="G30" i="23" s="1"/>
  <c r="C31" i="23" s="1"/>
  <c r="C57" i="85"/>
  <c r="C60" i="85" s="1"/>
  <c r="C61" i="85" s="1"/>
  <c r="C50" i="85" s="1"/>
  <c r="C51" i="85" s="1"/>
  <c r="D100" i="85"/>
  <c r="D256" i="85" l="1"/>
  <c r="D259" i="85" s="1"/>
  <c r="D260" i="85" s="1"/>
  <c r="C219" i="85"/>
  <c r="C224" i="85" s="1"/>
  <c r="C228" i="85" s="1"/>
  <c r="D170" i="85"/>
  <c r="D175" i="85" s="1"/>
  <c r="C241" i="85"/>
  <c r="D31" i="23"/>
  <c r="E31" i="23" s="1"/>
  <c r="G31" i="23" s="1"/>
  <c r="C32" i="23" s="1"/>
  <c r="E100" i="85"/>
  <c r="G100" i="85" s="1"/>
  <c r="C101" i="85" s="1"/>
  <c r="D176" i="85" l="1"/>
  <c r="D32" i="23"/>
  <c r="E32" i="23" s="1"/>
  <c r="G32" i="23" s="1"/>
  <c r="C33" i="23" s="1"/>
  <c r="D101" i="85"/>
  <c r="D33" i="23" l="1"/>
  <c r="E101" i="85"/>
  <c r="G101" i="85" s="1"/>
  <c r="C102" i="85" s="1"/>
  <c r="D102" i="85" l="1"/>
  <c r="E33" i="23"/>
  <c r="D27" i="68"/>
  <c r="C47" i="21" l="1"/>
  <c r="C49" i="21" s="1"/>
  <c r="D110" i="29"/>
  <c r="E102" i="85"/>
  <c r="G102" i="85" s="1"/>
  <c r="C103" i="85" s="1"/>
  <c r="D26" i="68"/>
  <c r="G33" i="23"/>
  <c r="C34" i="23" l="1"/>
  <c r="C28" i="69"/>
  <c r="C31" i="69" s="1"/>
  <c r="D103" i="85"/>
  <c r="D112" i="29"/>
  <c r="D114" i="29" s="1"/>
  <c r="C96" i="22"/>
  <c r="C99" i="22" s="1"/>
  <c r="C100" i="22" s="1"/>
  <c r="C50" i="21" s="1"/>
  <c r="D30" i="68" s="1"/>
  <c r="D33" i="68" s="1"/>
  <c r="D34" i="68" s="1"/>
  <c r="D36" i="68" s="1"/>
  <c r="C8" i="69" l="1"/>
  <c r="C11" i="69" s="1"/>
  <c r="C20" i="69" s="1"/>
  <c r="E35" i="68"/>
  <c r="E103" i="85"/>
  <c r="G103" i="85" s="1"/>
  <c r="C104" i="85" s="1"/>
  <c r="C51" i="21"/>
  <c r="D34" i="23"/>
  <c r="E34" i="23" l="1"/>
  <c r="D104" i="85"/>
  <c r="E95" i="29"/>
  <c r="E98" i="29" s="1"/>
  <c r="E99" i="29" s="1"/>
  <c r="E9" i="29"/>
  <c r="E14" i="29" s="1"/>
  <c r="D80" i="29"/>
  <c r="C37" i="69"/>
  <c r="C39" i="69" s="1"/>
  <c r="D58" i="29"/>
  <c r="D63" i="29" s="1"/>
  <c r="D67" i="29" s="1"/>
  <c r="C53" i="21"/>
  <c r="D36" i="69" l="1"/>
  <c r="C41" i="69"/>
  <c r="C43" i="69" s="1"/>
  <c r="C46" i="69" s="1"/>
  <c r="E104" i="85"/>
  <c r="G104" i="85" s="1"/>
  <c r="C105" i="85" s="1"/>
  <c r="E15" i="29"/>
  <c r="G34" i="23"/>
  <c r="C35" i="23" s="1"/>
  <c r="D105" i="85" l="1"/>
  <c r="E105" i="85" s="1"/>
  <c r="G105" i="85" s="1"/>
  <c r="C106" i="85" s="1"/>
  <c r="D35" i="23"/>
  <c r="D106" i="85" l="1"/>
  <c r="E106" i="85" s="1"/>
  <c r="G106" i="85" s="1"/>
  <c r="C107" i="85" s="1"/>
  <c r="E35" i="23"/>
  <c r="D107" i="85" l="1"/>
  <c r="E107" i="85" s="1"/>
  <c r="G107" i="85" s="1"/>
  <c r="C108" i="85" s="1"/>
  <c r="G35" i="23"/>
  <c r="C36" i="23" s="1"/>
  <c r="D36" i="23" l="1"/>
  <c r="D108" i="85"/>
  <c r="E108" i="85" s="1"/>
  <c r="G108" i="85" s="1"/>
  <c r="C109" i="85" s="1"/>
  <c r="D109" i="85" l="1"/>
  <c r="E109" i="85" s="1"/>
  <c r="G109" i="85" s="1"/>
  <c r="C110" i="85" s="1"/>
  <c r="E36" i="23"/>
  <c r="D110" i="85" l="1"/>
  <c r="E110" i="85" s="1"/>
  <c r="G110" i="85" s="1"/>
  <c r="C111" i="85" s="1"/>
  <c r="G36" i="23"/>
  <c r="C37" i="23" s="1"/>
  <c r="D111" i="85" l="1"/>
  <c r="D37" i="23"/>
  <c r="E37" i="23" l="1"/>
  <c r="E111" i="85"/>
  <c r="G111" i="85" s="1"/>
  <c r="C112" i="85" s="1"/>
  <c r="D47" i="85"/>
  <c r="D49" i="85" s="1"/>
  <c r="D273" i="85"/>
  <c r="D274" i="85" s="1"/>
  <c r="D278" i="85" s="1"/>
  <c r="D57" i="85" l="1"/>
  <c r="D60" i="85" s="1"/>
  <c r="D61" i="85" s="1"/>
  <c r="D50" i="85" s="1"/>
  <c r="D51" i="85" s="1"/>
  <c r="D112" i="85"/>
  <c r="G37" i="23"/>
  <c r="C38" i="23" s="1"/>
  <c r="D241" i="85" l="1"/>
  <c r="D219" i="85"/>
  <c r="D224" i="85" s="1"/>
  <c r="D228" i="85" s="1"/>
  <c r="E170" i="85"/>
  <c r="E175" i="85" s="1"/>
  <c r="E256" i="85"/>
  <c r="E259" i="85" s="1"/>
  <c r="E260" i="85" s="1"/>
  <c r="E112" i="85"/>
  <c r="G112" i="85" s="1"/>
  <c r="C113" i="85" s="1"/>
  <c r="D38" i="23"/>
  <c r="E38" i="23" l="1"/>
  <c r="D113" i="85"/>
  <c r="E176" i="85"/>
  <c r="E113" i="85" l="1"/>
  <c r="G113" i="85" s="1"/>
  <c r="C114" i="85" s="1"/>
  <c r="G38" i="23"/>
  <c r="C39" i="23" s="1"/>
  <c r="D39" i="23" l="1"/>
  <c r="E39" i="23" s="1"/>
  <c r="G39" i="23" s="1"/>
  <c r="C40" i="23" s="1"/>
  <c r="D114" i="85"/>
  <c r="D40" i="23" l="1"/>
  <c r="E40" i="23" s="1"/>
  <c r="G40" i="23" s="1"/>
  <c r="C41" i="23" s="1"/>
  <c r="E114" i="85"/>
  <c r="G114" i="85" s="1"/>
  <c r="C115" i="85" s="1"/>
  <c r="D41" i="23" l="1"/>
  <c r="E41" i="23" s="1"/>
  <c r="G41" i="23" s="1"/>
  <c r="C42" i="23" s="1"/>
  <c r="D115" i="85"/>
  <c r="D42" i="23" l="1"/>
  <c r="E42" i="23" s="1"/>
  <c r="G42" i="23" s="1"/>
  <c r="C43" i="23" s="1"/>
  <c r="E115" i="85"/>
  <c r="G115" i="85" s="1"/>
  <c r="C116" i="85" s="1"/>
  <c r="D116" i="85" l="1"/>
  <c r="D43" i="23"/>
  <c r="E43" i="23" s="1"/>
  <c r="G43" i="23" s="1"/>
  <c r="C44" i="23" s="1"/>
  <c r="D44" i="23" l="1"/>
  <c r="E44" i="23" s="1"/>
  <c r="G44" i="23" s="1"/>
  <c r="C45" i="23" s="1"/>
  <c r="E116" i="85"/>
  <c r="G116" i="85" s="1"/>
  <c r="C117" i="85" s="1"/>
  <c r="D45" i="23" l="1"/>
  <c r="D117" i="85"/>
  <c r="E117" i="85" s="1"/>
  <c r="G117" i="85" s="1"/>
  <c r="C118" i="85" s="1"/>
  <c r="D118" i="85" l="1"/>
  <c r="E118" i="85" s="1"/>
  <c r="G118" i="85" s="1"/>
  <c r="C119" i="85" s="1"/>
  <c r="E45" i="23"/>
  <c r="E27" i="68"/>
  <c r="D119" i="85" l="1"/>
  <c r="E119" i="85" s="1"/>
  <c r="G119" i="85" s="1"/>
  <c r="C120" i="85" s="1"/>
  <c r="D47" i="21"/>
  <c r="D49" i="21" s="1"/>
  <c r="E110" i="29"/>
  <c r="E26" i="68"/>
  <c r="G45" i="23"/>
  <c r="C46" i="23" l="1"/>
  <c r="D28" i="69"/>
  <c r="D31" i="69" s="1"/>
  <c r="D120" i="85"/>
  <c r="E120" i="85" s="1"/>
  <c r="G120" i="85" s="1"/>
  <c r="C121" i="85" s="1"/>
  <c r="D96" i="22"/>
  <c r="D99" i="22" s="1"/>
  <c r="D100" i="22" s="1"/>
  <c r="D50" i="21" s="1"/>
  <c r="E30" i="68" s="1"/>
  <c r="E33" i="68" s="1"/>
  <c r="E34" i="68" s="1"/>
  <c r="E36" i="68" s="1"/>
  <c r="E112" i="29"/>
  <c r="E114" i="29" s="1"/>
  <c r="F35" i="68" l="1"/>
  <c r="D8" i="69"/>
  <c r="D11" i="69" s="1"/>
  <c r="D20" i="69" s="1"/>
  <c r="D121" i="85"/>
  <c r="E121" i="85" s="1"/>
  <c r="G121" i="85" s="1"/>
  <c r="C122" i="85" s="1"/>
  <c r="D51" i="21"/>
  <c r="D46" i="23"/>
  <c r="D122" i="85" l="1"/>
  <c r="E122" i="85" s="1"/>
  <c r="G122" i="85" s="1"/>
  <c r="C123" i="85" s="1"/>
  <c r="E46" i="23"/>
  <c r="D37" i="69"/>
  <c r="D39" i="69" s="1"/>
  <c r="E80" i="29"/>
  <c r="F95" i="29"/>
  <c r="F98" i="29" s="1"/>
  <c r="F99" i="29" s="1"/>
  <c r="E58" i="29"/>
  <c r="E63" i="29" s="1"/>
  <c r="E67" i="29" s="1"/>
  <c r="F9" i="29"/>
  <c r="F14" i="29" s="1"/>
  <c r="D53" i="21"/>
  <c r="G46" i="23" l="1"/>
  <c r="C47" i="23" s="1"/>
  <c r="D123" i="85"/>
  <c r="F15" i="29"/>
  <c r="E36" i="69"/>
  <c r="D41" i="69"/>
  <c r="D43" i="69" s="1"/>
  <c r="D46" i="69" s="1"/>
  <c r="E123" i="85" l="1"/>
  <c r="G123" i="85" s="1"/>
  <c r="C124" i="85" s="1"/>
  <c r="E47" i="85"/>
  <c r="E49" i="85" s="1"/>
  <c r="E273" i="85"/>
  <c r="E274" i="85" s="1"/>
  <c r="E278" i="85" s="1"/>
  <c r="D47" i="23"/>
  <c r="E57" i="85" l="1"/>
  <c r="E60" i="85" s="1"/>
  <c r="E61" i="85" s="1"/>
  <c r="E50" i="85" s="1"/>
  <c r="E51" i="85" s="1"/>
  <c r="D124" i="85"/>
  <c r="E47" i="23"/>
  <c r="E241" i="85" l="1"/>
  <c r="F256" i="85"/>
  <c r="F259" i="85" s="1"/>
  <c r="F260" i="85" s="1"/>
  <c r="E219" i="85"/>
  <c r="E224" i="85" s="1"/>
  <c r="E228" i="85" s="1"/>
  <c r="F170" i="85"/>
  <c r="F175" i="85" s="1"/>
  <c r="E124" i="85"/>
  <c r="G124" i="85" s="1"/>
  <c r="C125" i="85" s="1"/>
  <c r="G47" i="23"/>
  <c r="C48" i="23" s="1"/>
  <c r="F176" i="85" l="1"/>
  <c r="D125" i="85"/>
  <c r="D48" i="23"/>
  <c r="E48" i="23" l="1"/>
  <c r="E125" i="85"/>
  <c r="G125" i="85" s="1"/>
  <c r="C126" i="85" s="1"/>
  <c r="D126" i="85" l="1"/>
  <c r="G48" i="23"/>
  <c r="C49" i="23" s="1"/>
  <c r="D49" i="23" l="1"/>
  <c r="E126" i="85"/>
  <c r="G126" i="85" s="1"/>
  <c r="C127" i="85" s="1"/>
  <c r="D127" i="85" l="1"/>
  <c r="E49" i="23"/>
  <c r="G49" i="23" l="1"/>
  <c r="C50" i="23" s="1"/>
  <c r="E127" i="85"/>
  <c r="G127" i="85" s="1"/>
  <c r="C128" i="85" s="1"/>
  <c r="D128" i="85" l="1"/>
  <c r="D50" i="23"/>
  <c r="E50" i="23" l="1"/>
  <c r="E128" i="85"/>
  <c r="G128" i="85" s="1"/>
  <c r="C129" i="85" s="1"/>
  <c r="D129" i="85" l="1"/>
  <c r="E129" i="85" s="1"/>
  <c r="G129" i="85" s="1"/>
  <c r="C130" i="85" s="1"/>
  <c r="G50" i="23"/>
  <c r="C51" i="23" s="1"/>
  <c r="D130" i="85" l="1"/>
  <c r="E130" i="85" s="1"/>
  <c r="G130" i="85" s="1"/>
  <c r="C131" i="85" s="1"/>
  <c r="D51" i="23"/>
  <c r="E51" i="23" s="1"/>
  <c r="G51" i="23" s="1"/>
  <c r="C52" i="23" s="1"/>
  <c r="D52" i="23" l="1"/>
  <c r="E52" i="23" s="1"/>
  <c r="G52" i="23" s="1"/>
  <c r="C53" i="23" s="1"/>
  <c r="D131" i="85"/>
  <c r="E131" i="85" s="1"/>
  <c r="G131" i="85" s="1"/>
  <c r="C132" i="85" s="1"/>
  <c r="D132" i="85" l="1"/>
  <c r="E132" i="85" s="1"/>
  <c r="G132" i="85" s="1"/>
  <c r="C133" i="85" s="1"/>
  <c r="D53" i="23"/>
  <c r="E53" i="23" s="1"/>
  <c r="G53" i="23" s="1"/>
  <c r="C54" i="23" s="1"/>
  <c r="D54" i="23" l="1"/>
  <c r="E54" i="23" s="1"/>
  <c r="G54" i="23" s="1"/>
  <c r="C55" i="23" s="1"/>
  <c r="D133" i="85"/>
  <c r="E133" i="85" s="1"/>
  <c r="G133" i="85" s="1"/>
  <c r="C134" i="85" s="1"/>
  <c r="D134" i="85" l="1"/>
  <c r="E134" i="85" s="1"/>
  <c r="G134" i="85" s="1"/>
  <c r="C135" i="85" s="1"/>
  <c r="D55" i="23"/>
  <c r="E55" i="23" s="1"/>
  <c r="G55" i="23" s="1"/>
  <c r="C56" i="23" s="1"/>
  <c r="D56" i="23" l="1"/>
  <c r="E56" i="23" s="1"/>
  <c r="G56" i="23" s="1"/>
  <c r="C57" i="23" s="1"/>
  <c r="D135" i="85"/>
  <c r="D57" i="23" l="1"/>
  <c r="E135" i="85"/>
  <c r="G135" i="85" s="1"/>
  <c r="C136" i="85" s="1"/>
  <c r="F47" i="85"/>
  <c r="F49" i="85" s="1"/>
  <c r="F273" i="85"/>
  <c r="F274" i="85" s="1"/>
  <c r="F278" i="85" s="1"/>
  <c r="F57" i="85" l="1"/>
  <c r="F60" i="85" s="1"/>
  <c r="F61" i="85" s="1"/>
  <c r="F50" i="85" s="1"/>
  <c r="F51" i="85" s="1"/>
  <c r="D136" i="85"/>
  <c r="E57" i="23"/>
  <c r="F27" i="68"/>
  <c r="G256" i="85" l="1"/>
  <c r="G259" i="85" s="1"/>
  <c r="F241" i="85"/>
  <c r="G170" i="85"/>
  <c r="G175" i="85" s="1"/>
  <c r="F219" i="85"/>
  <c r="F224" i="85" s="1"/>
  <c r="F228" i="85" s="1"/>
  <c r="E136" i="85"/>
  <c r="G136" i="85" s="1"/>
  <c r="C137" i="85" s="1"/>
  <c r="E47" i="21"/>
  <c r="E49" i="21" s="1"/>
  <c r="F110" i="29"/>
  <c r="F26" i="68"/>
  <c r="G57" i="23"/>
  <c r="E96" i="22" l="1"/>
  <c r="E99" i="22" s="1"/>
  <c r="E100" i="22" s="1"/>
  <c r="E50" i="21" s="1"/>
  <c r="F30" i="68" s="1"/>
  <c r="F33" i="68" s="1"/>
  <c r="F34" i="68" s="1"/>
  <c r="F36" i="68" s="1"/>
  <c r="C58" i="23"/>
  <c r="E28" i="69"/>
  <c r="E31" i="69" s="1"/>
  <c r="D137" i="85"/>
  <c r="G176" i="85"/>
  <c r="F112" i="29"/>
  <c r="F114" i="29" s="1"/>
  <c r="G260" i="85"/>
  <c r="C262" i="85"/>
  <c r="G35" i="68" l="1"/>
  <c r="E8" i="69"/>
  <c r="E11" i="69" s="1"/>
  <c r="E20" i="69" s="1"/>
  <c r="D58" i="23"/>
  <c r="E137" i="85"/>
  <c r="G137" i="85" s="1"/>
  <c r="C138" i="85" s="1"/>
  <c r="E51" i="21"/>
  <c r="E58" i="23" l="1"/>
  <c r="D138" i="85"/>
  <c r="F58" i="29"/>
  <c r="F63" i="29" s="1"/>
  <c r="F67" i="29" s="1"/>
  <c r="E37" i="69"/>
  <c r="E39" i="69" s="1"/>
  <c r="G95" i="29"/>
  <c r="G98" i="29" s="1"/>
  <c r="G99" i="29" s="1"/>
  <c r="F80" i="29"/>
  <c r="G9" i="29"/>
  <c r="G14" i="29" s="1"/>
  <c r="E53" i="21"/>
  <c r="G15" i="29" l="1"/>
  <c r="E138" i="85"/>
  <c r="G138" i="85" s="1"/>
  <c r="C139" i="85" s="1"/>
  <c r="F36" i="69"/>
  <c r="E41" i="69"/>
  <c r="E43" i="69" s="1"/>
  <c r="E46" i="69" s="1"/>
  <c r="G58" i="23"/>
  <c r="C59" i="23" s="1"/>
  <c r="D139" i="85" l="1"/>
  <c r="D59" i="23"/>
  <c r="E59" i="23" l="1"/>
  <c r="E139" i="85"/>
  <c r="G139" i="85" s="1"/>
  <c r="C140" i="85" s="1"/>
  <c r="D140" i="85" l="1"/>
  <c r="G59" i="23"/>
  <c r="C60" i="23" s="1"/>
  <c r="D60" i="23" l="1"/>
  <c r="E140" i="85"/>
  <c r="G140" i="85" s="1"/>
  <c r="C141" i="85" s="1"/>
  <c r="E60" i="23" l="1"/>
  <c r="D141" i="85"/>
  <c r="E141" i="85" s="1"/>
  <c r="G141" i="85" s="1"/>
  <c r="C142" i="85" s="1"/>
  <c r="D142" i="85" l="1"/>
  <c r="E142" i="85" s="1"/>
  <c r="G142" i="85" s="1"/>
  <c r="C143" i="85" s="1"/>
  <c r="G60" i="23"/>
  <c r="C61" i="23" s="1"/>
  <c r="D61" i="23" l="1"/>
  <c r="D143" i="85"/>
  <c r="E143" i="85" s="1"/>
  <c r="G143" i="85" s="1"/>
  <c r="C144" i="85" s="1"/>
  <c r="D144" i="85" l="1"/>
  <c r="E144" i="85" s="1"/>
  <c r="G144" i="85" s="1"/>
  <c r="C145" i="85" s="1"/>
  <c r="E61" i="23"/>
  <c r="D145" i="85" l="1"/>
  <c r="E145" i="85" s="1"/>
  <c r="G145" i="85" s="1"/>
  <c r="C146" i="85" s="1"/>
  <c r="G61" i="23"/>
  <c r="C62" i="23" s="1"/>
  <c r="D62" i="23" l="1"/>
  <c r="D146" i="85"/>
  <c r="E146" i="85" s="1"/>
  <c r="G146" i="85" s="1"/>
  <c r="C147" i="85" s="1"/>
  <c r="D147" i="85" l="1"/>
  <c r="E62" i="23"/>
  <c r="G62" i="23" l="1"/>
  <c r="C63" i="23" s="1"/>
  <c r="E147" i="85"/>
  <c r="G147" i="85" s="1"/>
  <c r="C148" i="85" s="1"/>
  <c r="G47" i="85"/>
  <c r="G49" i="85" s="1"/>
  <c r="G273" i="85"/>
  <c r="G274" i="85" s="1"/>
  <c r="G278" i="85" s="1"/>
  <c r="G57" i="85" l="1"/>
  <c r="G60" i="85" s="1"/>
  <c r="G61" i="85" s="1"/>
  <c r="G50" i="85" s="1"/>
  <c r="G51" i="85" s="1"/>
  <c r="D148" i="85"/>
  <c r="D63" i="23"/>
  <c r="E63" i="23" s="1"/>
  <c r="G63" i="23" s="1"/>
  <c r="C64" i="23" s="1"/>
  <c r="H170" i="85" l="1"/>
  <c r="H175" i="85" s="1"/>
  <c r="H256" i="85"/>
  <c r="H259" i="85" s="1"/>
  <c r="H260" i="85" s="1"/>
  <c r="G219" i="85"/>
  <c r="G224" i="85" s="1"/>
  <c r="G228" i="85" s="1"/>
  <c r="G241" i="85"/>
  <c r="E148" i="85"/>
  <c r="G148" i="85" s="1"/>
  <c r="C149" i="85" s="1"/>
  <c r="D64" i="23"/>
  <c r="E64" i="23" s="1"/>
  <c r="G64" i="23" s="1"/>
  <c r="C65" i="23" s="1"/>
  <c r="D65" i="23" l="1"/>
  <c r="E65" i="23" s="1"/>
  <c r="G65" i="23" s="1"/>
  <c r="C66" i="23" s="1"/>
  <c r="D149" i="85"/>
  <c r="H176" i="85"/>
  <c r="E149" i="85" l="1"/>
  <c r="G149" i="85" s="1"/>
  <c r="C150" i="85" s="1"/>
  <c r="D66" i="23"/>
  <c r="E66" i="23" s="1"/>
  <c r="G66" i="23" s="1"/>
  <c r="C67" i="23" s="1"/>
  <c r="D67" i="23" l="1"/>
  <c r="E67" i="23" s="1"/>
  <c r="G67" i="23" s="1"/>
  <c r="C68" i="23" s="1"/>
  <c r="D150" i="85"/>
  <c r="E150" i="85" l="1"/>
  <c r="G150" i="85" s="1"/>
  <c r="C151" i="85" s="1"/>
  <c r="D68" i="23"/>
  <c r="E68" i="23" s="1"/>
  <c r="G68" i="23" s="1"/>
  <c r="C69" i="23" s="1"/>
  <c r="D69" i="23" l="1"/>
  <c r="D151" i="85"/>
  <c r="E151" i="85" l="1"/>
  <c r="G151" i="85" s="1"/>
  <c r="C152" i="85" s="1"/>
  <c r="E69" i="23"/>
  <c r="G27" i="68"/>
  <c r="F47" i="21" l="1"/>
  <c r="F49" i="21" s="1"/>
  <c r="G110" i="29"/>
  <c r="G26" i="68"/>
  <c r="G69" i="23"/>
  <c r="D152" i="85"/>
  <c r="E152" i="85" l="1"/>
  <c r="G152" i="85" s="1"/>
  <c r="C153" i="85" s="1"/>
  <c r="F28" i="69"/>
  <c r="F31" i="69" s="1"/>
  <c r="G112" i="29"/>
  <c r="G114" i="29" s="1"/>
  <c r="F96" i="22"/>
  <c r="F99" i="22" s="1"/>
  <c r="F100" i="22" s="1"/>
  <c r="F50" i="21" s="1"/>
  <c r="G30" i="68" s="1"/>
  <c r="G33" i="68" s="1"/>
  <c r="G34" i="68" s="1"/>
  <c r="G36" i="68" s="1"/>
  <c r="F8" i="69" l="1"/>
  <c r="F11" i="69" s="1"/>
  <c r="F20" i="69" s="1"/>
  <c r="H35" i="68"/>
  <c r="F51" i="21"/>
  <c r="D153" i="85"/>
  <c r="E153" i="85" s="1"/>
  <c r="G153" i="85" s="1"/>
  <c r="C154" i="85" s="1"/>
  <c r="D154" i="85" l="1"/>
  <c r="E154" i="85" s="1"/>
  <c r="G154" i="85" s="1"/>
  <c r="C155" i="85" s="1"/>
  <c r="G80" i="29"/>
  <c r="H95" i="29"/>
  <c r="H98" i="29" s="1"/>
  <c r="H9" i="29"/>
  <c r="H14" i="29" s="1"/>
  <c r="G58" i="29"/>
  <c r="G63" i="29" s="1"/>
  <c r="G67" i="29" s="1"/>
  <c r="F37" i="69"/>
  <c r="F39" i="69" s="1"/>
  <c r="F53" i="21"/>
  <c r="D155" i="85" l="1"/>
  <c r="E155" i="85" s="1"/>
  <c r="G155" i="85" s="1"/>
  <c r="C156" i="85" s="1"/>
  <c r="H99" i="29"/>
  <c r="D101" i="29"/>
  <c r="D32" i="62" s="1"/>
  <c r="G36" i="69"/>
  <c r="F41" i="69"/>
  <c r="F43" i="69" s="1"/>
  <c r="F46" i="69" s="1"/>
  <c r="H15" i="29"/>
  <c r="D156" i="85" l="1"/>
  <c r="E156" i="85" s="1"/>
  <c r="G156" i="85" s="1"/>
  <c r="C157" i="85" s="1"/>
  <c r="D157" i="85" l="1"/>
  <c r="E157" i="85" s="1"/>
  <c r="G157" i="85" s="1"/>
  <c r="C158" i="85" s="1"/>
  <c r="D158" i="85" l="1"/>
  <c r="E158" i="85" s="1"/>
  <c r="G158" i="85" s="1"/>
  <c r="C159" i="85" s="1"/>
  <c r="D159" i="85" l="1"/>
  <c r="E159" i="85" l="1"/>
  <c r="G159" i="85" s="1"/>
  <c r="H47" i="85"/>
  <c r="H49" i="85" s="1"/>
  <c r="H273" i="85"/>
  <c r="H274" i="85" s="1"/>
  <c r="H278" i="85" s="1"/>
  <c r="B280" i="85" s="1"/>
  <c r="H57" i="85" l="1"/>
  <c r="H60" i="85" s="1"/>
  <c r="H61" i="85" s="1"/>
  <c r="H50" i="85" s="1"/>
  <c r="H51" i="85" s="1"/>
  <c r="H219" i="85" l="1"/>
  <c r="H224" i="85" s="1"/>
  <c r="H228" i="85" s="1"/>
  <c r="B230" i="85" s="1"/>
  <c r="B234" i="85" s="1"/>
  <c r="I170" i="85"/>
  <c r="I175" i="85" s="1"/>
  <c r="H241" i="85"/>
  <c r="B243" i="85" s="1"/>
  <c r="B246" i="85" s="1"/>
  <c r="I256" i="85"/>
  <c r="I259" i="85" s="1"/>
  <c r="I260" i="85" s="1"/>
  <c r="I176" i="85" l="1"/>
  <c r="B177" i="85" s="1"/>
  <c r="C179" i="85" l="1"/>
  <c r="D179" i="85" l="1"/>
  <c r="C180" i="85"/>
  <c r="E179" i="85" l="1"/>
  <c r="D180" i="85"/>
  <c r="F179" i="85" l="1"/>
  <c r="E180" i="85"/>
  <c r="G179" i="85" l="1"/>
  <c r="F180" i="85"/>
  <c r="H179" i="85" l="1"/>
  <c r="G180" i="85"/>
  <c r="I179" i="85" l="1"/>
  <c r="I180" i="85" s="1"/>
  <c r="H180" i="85"/>
  <c r="C181" i="85" l="1"/>
  <c r="E184" i="85" s="1"/>
  <c r="H27" i="68" l="1"/>
  <c r="G47" i="21" l="1"/>
  <c r="G49" i="21" s="1"/>
  <c r="H110" i="29"/>
  <c r="H26" i="68"/>
  <c r="G28" i="69" l="1"/>
  <c r="G31" i="69" s="1"/>
  <c r="H112" i="29"/>
  <c r="G96" i="22"/>
  <c r="G99" i="22" s="1"/>
  <c r="G100" i="22" s="1"/>
  <c r="G50" i="21" s="1"/>
  <c r="H30" i="68" s="1"/>
  <c r="H33" i="68" s="1"/>
  <c r="H34" i="68" s="1"/>
  <c r="H36" i="68" s="1"/>
  <c r="G8" i="69" l="1"/>
  <c r="G11" i="69" s="1"/>
  <c r="G20" i="69" s="1"/>
  <c r="I35" i="68"/>
  <c r="G51" i="21"/>
  <c r="H58" i="29" l="1"/>
  <c r="H63" i="29" s="1"/>
  <c r="H67" i="29" s="1"/>
  <c r="H80" i="29"/>
  <c r="G37" i="69"/>
  <c r="G39" i="69" s="1"/>
  <c r="I9" i="29"/>
  <c r="I14" i="29" s="1"/>
  <c r="I95" i="29"/>
  <c r="I98" i="29" s="1"/>
  <c r="I99" i="29" s="1"/>
  <c r="G53" i="21"/>
  <c r="I15" i="29" l="1"/>
  <c r="H36" i="69"/>
  <c r="G41" i="69"/>
  <c r="G43" i="69" s="1"/>
  <c r="G46" i="69" s="1"/>
  <c r="D76" i="23" l="1"/>
  <c r="I27" i="68"/>
  <c r="H47" i="21" l="1"/>
  <c r="H49" i="21" s="1"/>
  <c r="I110" i="29"/>
  <c r="E76" i="23"/>
  <c r="I26" i="68"/>
  <c r="I112" i="29" l="1"/>
  <c r="H96" i="22"/>
  <c r="H99" i="22" s="1"/>
  <c r="H100" i="22" s="1"/>
  <c r="H50" i="21" s="1"/>
  <c r="I30" i="68" s="1"/>
  <c r="I33" i="68" s="1"/>
  <c r="I34" i="68" s="1"/>
  <c r="I36" i="68" s="1"/>
  <c r="H8" i="69" s="1"/>
  <c r="H11" i="69" s="1"/>
  <c r="H20" i="69" s="1"/>
  <c r="C116" i="29" l="1"/>
  <c r="D33" i="62" s="1"/>
  <c r="H51" i="21"/>
  <c r="I80" i="29" l="1"/>
  <c r="C82" i="29" s="1"/>
  <c r="C85" i="29" s="1"/>
  <c r="D29" i="62" s="1"/>
  <c r="J95" i="29"/>
  <c r="J98" i="29" s="1"/>
  <c r="J99" i="29" s="1"/>
  <c r="I58" i="29"/>
  <c r="I63" i="29" s="1"/>
  <c r="I67" i="29" s="1"/>
  <c r="C69" i="29" s="1"/>
  <c r="C73" i="29" s="1"/>
  <c r="D31" i="62" s="1"/>
  <c r="H37" i="69"/>
  <c r="H39" i="69" s="1"/>
  <c r="H41" i="69" s="1"/>
  <c r="H43" i="69" s="1"/>
  <c r="H46" i="69" s="1"/>
  <c r="J9" i="29"/>
  <c r="J14" i="29" s="1"/>
  <c r="H53" i="21"/>
  <c r="J15" i="29" l="1"/>
  <c r="C16" i="29" s="1"/>
  <c r="D18" i="29" l="1"/>
  <c r="D30"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<sst xmlns="http://schemas.openxmlformats.org/spreadsheetml/2006/main" count="1711" uniqueCount="815">
  <si>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</si>
  <si>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</si>
  <si>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</si>
  <si>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</si>
  <si>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</si>
  <si>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</si>
  <si>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</si>
  <si>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</si>
  <si>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</si>
  <si>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</si>
  <si>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</si>
  <si>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</si>
  <si>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</si>
  <si>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</si>
  <si>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</si>
  <si>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</si>
  <si>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</si>
  <si>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</si>
  <si>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</si>
  <si>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</si>
  <si>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</si>
  <si>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</si>
  <si>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</si>
  <si>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</si>
  <si>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</si>
  <si>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</si>
  <si>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</si>
  <si>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</si>
  <si>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</si>
  <si>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</si>
  <si>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</si>
  <si>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</si>
  <si>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</si>
  <si>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</si>
  <si>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</si>
  <si>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</si>
  <si>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</si>
  <si>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</si>
  <si>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</si>
  <si>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</si>
  <si>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</si>
  <si>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</si>
  <si>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</si>
  <si>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</si>
  <si>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</si>
  <si>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</si>
  <si>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</si>
  <si>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</si>
  <si>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</si>
  <si>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</si>
  <si>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</si>
  <si>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</si>
  <si>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</si>
  <si>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</si>
  <si>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</si>
  <si>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</si>
  <si>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</si>
  <si>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</si>
  <si>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</si>
  <si>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</si>
  <si>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</si>
  <si>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</si>
  <si>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</si>
  <si>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</si>
  <si>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</si>
  <si>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</si>
  <si>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</si>
  <si>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</si>
  <si>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</si>
  <si>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</si>
  <si>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</si>
  <si>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</si>
  <si>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</si>
  <si>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</si>
  <si>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</si>
  <si>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</si>
  <si>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</si>
  <si>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</si>
  <si>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</si>
  <si>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</si>
  <si>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</si>
  <si>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</si>
  <si>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</si>
  <si>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</si>
  <si>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</si>
  <si>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</si>
  <si>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</si>
  <si>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</si>
  <si>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</si>
  <si>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</si>
  <si>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</si>
  <si>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</si>
  <si>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</si>
  <si>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</si>
  <si>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</si>
  <si>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</si>
  <si>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</si>
  <si>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</si>
  <si>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</si>
  <si>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</si>
  <si>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</si>
  <si>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</si>
  <si>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</si>
  <si>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</si>
  <si>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</si>
  <si>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</si>
  <si>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</si>
  <si>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</si>
  <si>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</si>
  <si>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</si>
  <si>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</si>
  <si>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</si>
  <si>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</si>
  <si>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</si>
  <si>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</si>
  <si>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</si>
  <si>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</si>
  <si>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</si>
  <si>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</si>
  <si>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</si>
  <si>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</si>
  <si>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</si>
  <si>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</si>
  <si>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</si>
  <si>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</si>
  <si>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</si>
  <si>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</si>
  <si>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</si>
  <si>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</si>
  <si>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</si>
  <si>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</si>
  <si>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</si>
  <si>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</si>
  <si>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</si>
  <si>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</si>
  <si>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</si>
  <si>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</si>
  <si>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</si>
  <si>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</si>
  <si>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</si>
  <si>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</si>
  <si>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</si>
  <si>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</si>
  <si>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</si>
  <si>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</si>
  <si>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</si>
  <si>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</si>
  <si>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</si>
  <si>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</si>
  <si>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</si>
  <si>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</si>
  <si>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</si>
  <si>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</si>
  <si>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</si>
  <si>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</si>
  <si>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</si>
  <si>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</si>
  <si>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</si>
  <si>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</si>
  <si>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</si>
  <si>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</si>
  <si>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</si>
  <si>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</si>
  <si>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</si>
  <si>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</si>
  <si>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</si>
  <si>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</si>
  <si>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</si>
  <si>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</si>
  <si>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</si>
  <si>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</si>
  <si>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</si>
  <si>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</si>
  <si>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</si>
  <si>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</si>
  <si>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</si>
  <si>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</si>
  <si>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</si>
  <si>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</si>
  <si>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</si>
  <si>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</si>
  <si>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</si>
  <si>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</si>
  <si>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</si>
  <si>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</si>
  <si>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</si>
  <si>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</si>
  <si>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</si>
  <si>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</si>
  <si>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</si>
  <si>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</si>
  <si>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</si>
  <si>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</si>
  <si>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</si>
  <si>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</si>
  <si>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</si>
  <si>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</si>
  <si>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</si>
  <si>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</si>
  <si>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</si>
  <si>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</si>
  <si>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</si>
  <si>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</si>
  <si>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</si>
  <si>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</si>
  <si>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</si>
  <si>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</si>
  <si>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</si>
  <si>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</si>
  <si>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</si>
  <si>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</si>
  <si>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</si>
  <si>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</si>
  <si>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</si>
  <si>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</si>
  <si>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</si>
  <si>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</si>
  <si>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</si>
  <si>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</si>
  <si>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</si>
  <si>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</si>
  <si>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</si>
  <si>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</si>
  <si>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</si>
  <si>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</si>
  <si>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</si>
  <si>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</si>
  <si>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</si>
  <si>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</si>
  <si>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</si>
  <si>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</si>
  <si>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</si>
  <si>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</si>
  <si>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</si>
  <si>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</si>
  <si>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</si>
  <si>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</si>
  <si>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</si>
  <si>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</si>
  <si>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</si>
  <si>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</si>
  <si>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</si>
  <si>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</si>
  <si>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</si>
  <si>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</si>
  <si>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</si>
  <si>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</si>
  <si>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</si>
  <si>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</si>
  <si>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</si>
  <si>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</si>
  <si>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</si>
  <si>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</si>
  <si>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</si>
  <si>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</si>
  <si>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</si>
  <si>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</si>
  <si>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</si>
  <si>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</si>
  <si>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</si>
  <si>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</si>
  <si>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</si>
  <si>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</si>
  <si>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</si>
  <si>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</si>
  <si>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</si>
  <si>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</si>
  <si>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</si>
  <si>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</si>
  <si>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</si>
  <si>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</si>
  <si>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</si>
  <si>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</si>
  <si>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</si>
  <si>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</si>
  <si>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</si>
  <si>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</si>
  <si>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</si>
  <si>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</si>
  <si>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</si>
  <si>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</si>
  <si>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</si>
  <si>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</si>
  <si>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</si>
  <si>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</si>
  <si>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</si>
  <si>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</si>
  <si>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</si>
  <si>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</si>
  <si>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</si>
  <si>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</si>
  <si>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</si>
  <si>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</si>
  <si>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</si>
  <si>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</si>
  <si>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</si>
  <si>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</si>
  <si>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</si>
  <si>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</si>
  <si>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</si>
  <si>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</si>
  <si>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</si>
  <si>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</si>
  <si>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</si>
  <si>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</si>
  <si>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</si>
  <si>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</si>
  <si>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</si>
  <si>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</si>
  <si>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</si>
  <si>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</si>
  <si>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</si>
  <si>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</si>
  <si>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</si>
  <si>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</si>
  <si>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</si>
  <si>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</si>
  <si>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</si>
  <si>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</si>
  <si>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</si>
  <si>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</si>
  <si>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</si>
  <si>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</si>
  <si>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</si>
  <si>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</si>
  <si>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</si>
  <si>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</si>
  <si>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</si>
  <si>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</si>
  <si>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</si>
  <si>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</si>
  <si>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</si>
  <si>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</si>
  <si>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</si>
  <si>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</si>
  <si>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</si>
  <si>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</si>
  <si>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</si>
  <si>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</si>
  <si>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</si>
  <si>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</si>
  <si>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</si>
  <si>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</si>
  <si>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</si>
  <si>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</si>
  <si>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</si>
  <si>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</si>
  <si>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</si>
  <si>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</si>
  <si>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</si>
  <si>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</si>
  <si>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</si>
  <si>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</si>
  <si>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</si>
  <si>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</si>
  <si>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</si>
  <si>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</si>
  <si>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</si>
  <si>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</si>
  <si>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</si>
  <si>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</si>
  <si>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</si>
  <si>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</si>
  <si>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</si>
  <si>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</si>
  <si>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</si>
  <si>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</si>
  <si>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</si>
  <si>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</si>
  <si>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</si>
  <si>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</si>
  <si>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</si>
  <si>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</si>
  <si>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</si>
  <si>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</si>
  <si>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</si>
  <si>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</si>
  <si>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</si>
  <si>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</si>
  <si>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</si>
  <si>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</si>
  <si>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</si>
  <si>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</si>
  <si>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</si>
  <si>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</si>
  <si>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</si>
  <si>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</si>
  <si>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</si>
  <si>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</si>
  <si>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</si>
  <si>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</si>
  <si>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</si>
  <si>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</si>
  <si>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</si>
  <si>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</si>
  <si>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</si>
  <si>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</si>
  <si>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</si>
  <si>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</si>
  <si>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</si>
  <si>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</si>
  <si>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</si>
  <si>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</si>
  <si>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</si>
  <si>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</si>
  <si>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</si>
  <si>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</si>
  <si>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</si>
  <si>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</si>
  <si>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</si>
  <si>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</si>
  <si>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</si>
  <si>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</si>
  <si>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</si>
  <si>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</si>
  <si>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</si>
  <si>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</si>
  <si>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</si>
  <si>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</si>
  <si>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</si>
  <si>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</si>
  <si>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</si>
  <si>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</si>
  <si>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</si>
  <si>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</si>
  <si>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</si>
  <si>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</si>
  <si>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</si>
  <si>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</si>
  <si>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</si>
  <si>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</si>
  <si>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</si>
  <si>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</si>
  <si>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</si>
  <si>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</si>
  <si>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</si>
  <si>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</si>
  <si>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</si>
  <si>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</si>
  <si>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</si>
  <si>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</si>
  <si>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</si>
  <si>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</si>
  <si>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</si>
  <si>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</si>
  <si>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</si>
  <si>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</si>
  <si>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</si>
  <si>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</si>
  <si>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</si>
  <si>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</si>
  <si>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</si>
  <si>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</si>
  <si>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</si>
  <si>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</si>
  <si>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</si>
  <si>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</si>
  <si>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</si>
  <si>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</si>
  <si>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</si>
  <si>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</si>
  <si>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</si>
  <si>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</si>
  <si>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</si>
  <si>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</si>
  <si>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</si>
  <si>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</si>
  <si>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</si>
  <si>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</si>
  <si>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</si>
  <si>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</si>
  <si>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</si>
  <si>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</si>
  <si>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</si>
  <si>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</si>
  <si>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</si>
  <si>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</si>
  <si>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</si>
  <si>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</si>
  <si>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</si>
  <si>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</si>
  <si>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</si>
  <si>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</si>
  <si>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</si>
  <si>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</si>
  <si>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</si>
  <si>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</si>
  <si>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</si>
  <si>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</si>
  <si>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</si>
  <si>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</si>
  <si>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</si>
  <si>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</si>
  <si>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</si>
  <si>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</si>
  <si>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</si>
  <si>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</si>
  <si>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</si>
  <si>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</si>
  <si>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</si>
  <si>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</si>
  <si>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</si>
  <si>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</si>
  <si>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</si>
  <si>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</si>
  <si>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</si>
  <si>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</si>
  <si>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</si>
  <si>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</si>
  <si>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</si>
  <si>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Pomegranate Juice</t>
  </si>
  <si>
    <t>Pomegranate Powder</t>
  </si>
  <si>
    <t>Pomegranate Arils</t>
  </si>
  <si>
    <t>Pomegranate Arils 1 Kg</t>
  </si>
  <si>
    <t>Pomegranate Juice 1 Ltrs</t>
  </si>
  <si>
    <t>Pomegranate Peel Powder1 Kg</t>
  </si>
  <si>
    <t>Other Consumbales</t>
  </si>
  <si>
    <t>Facility 6 - 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</si>
  <si>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</si>
  <si>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</si>
  <si>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</si>
  <si>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</si>
  <si>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</si>
  <si>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</si>
  <si>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</si>
  <si>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</si>
  <si>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</si>
  <si>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</si>
  <si>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</si>
  <si>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</si>
  <si>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</si>
  <si>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</si>
  <si>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</si>
  <si>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</si>
  <si>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</si>
  <si>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</si>
  <si>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</si>
  <si>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</si>
  <si>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</si>
  <si>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</si>
  <si>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</si>
  <si>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</si>
  <si>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</si>
  <si>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</si>
  <si>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</si>
  <si>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</si>
  <si>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</si>
  <si>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</si>
  <si>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</si>
  <si>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</si>
  <si>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</si>
  <si>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</si>
  <si>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</si>
  <si>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</si>
  <si>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</si>
  <si>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</si>
  <si>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</si>
  <si>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</si>
  <si>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</si>
  <si>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</si>
  <si>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</si>
  <si>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</si>
  <si>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</si>
  <si>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</si>
  <si>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</si>
  <si>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</si>
  <si>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12.1 Producers/ Capacity Utilization</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</si>
  <si>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</si>
  <si>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</si>
  <si>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</si>
  <si>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</si>
  <si>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</si>
  <si>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</si>
  <si>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</si>
  <si>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</si>
  <si>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</si>
  <si>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17.1 Producer/Capacity Utlization</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</si>
  <si>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</si>
  <si>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</si>
  <si>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</si>
  <si>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</si>
  <si>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</si>
  <si>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</si>
  <si>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</si>
  <si>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</si>
  <si>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</si>
  <si>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</si>
  <si>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</si>
  <si>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</si>
  <si>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</si>
  <si>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</si>
  <si>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</si>
  <si>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</si>
  <si>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</si>
  <si>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</si>
  <si>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</si>
  <si>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</si>
  <si>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</si>
  <si>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</si>
  <si>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</si>
  <si>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</si>
  <si>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</si>
  <si>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</si>
  <si>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</si>
  <si>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</si>
  <si>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</si>
  <si>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</si>
  <si>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</si>
  <si>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</si>
  <si>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</si>
  <si>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</si>
  <si>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</si>
  <si>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</si>
  <si>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</si>
  <si>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</si>
  <si>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</si>
  <si>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</si>
  <si>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</si>
  <si>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</si>
  <si>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</si>
  <si>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</si>
  <si>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</si>
  <si>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</si>
  <si>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</si>
  <si>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</si>
  <si>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</si>
  <si>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</si>
  <si>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</si>
  <si>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</si>
  <si>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</si>
  <si>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</si>
  <si>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</si>
  <si>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</si>
  <si>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</si>
  <si>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</si>
  <si>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</si>
  <si>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</si>
  <si>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</si>
  <si>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</si>
  <si>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</si>
  <si>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</si>
  <si>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</si>
  <si>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</si>
  <si>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</si>
  <si>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</si>
  <si>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</si>
  <si>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</si>
  <si>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</si>
  <si>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</si>
  <si>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</si>
  <si>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</si>
  <si>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</si>
  <si>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</si>
  <si>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</si>
  <si>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</si>
  <si>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</si>
  <si>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</si>
  <si>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</si>
  <si>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</si>
  <si>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</si>
  <si>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</si>
  <si>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</si>
  <si>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</si>
  <si>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</si>
  <si>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</si>
  <si>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</si>
  <si>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</si>
  <si>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</si>
  <si>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</si>
  <si>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</si>
  <si>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</si>
  <si>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</si>
  <si>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</si>
  <si>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</si>
  <si>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</si>
  <si>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</si>
  <si>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</si>
  <si>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</si>
  <si>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</si>
  <si>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</si>
  <si>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</si>
  <si>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</si>
  <si>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</si>
  <si>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</si>
  <si>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</si>
  <si>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</si>
  <si>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</si>
  <si>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</si>
  <si>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</si>
  <si>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Interest on Term loan &amp; WC</t>
  </si>
  <si>
    <t xml:space="preserve">The Pack Back Period (Project/ Equity) shall be less than 7 years </t>
  </si>
  <si>
    <t>packaging Exp- Oil Packaging</t>
  </si>
  <si>
    <t>Combine Harvestor</t>
  </si>
  <si>
    <t>DPR Prepartion</t>
  </si>
  <si>
    <t>Civil Estimation Prepartion</t>
  </si>
  <si>
    <t>Packaging Expenses</t>
  </si>
  <si>
    <t>Driver for Tractors</t>
  </si>
  <si>
    <t>Rate/Unit</t>
  </si>
  <si>
    <t>Total Amount</t>
  </si>
  <si>
    <t xml:space="preserve">Pre-harvest </t>
  </si>
  <si>
    <t xml:space="preserve">B </t>
  </si>
  <si>
    <t>Post Harvest</t>
  </si>
  <si>
    <t>Others</t>
  </si>
  <si>
    <t>IT &amp; IT Infrastracture</t>
  </si>
  <si>
    <t>Preliminary/Preoperative Expenses</t>
  </si>
  <si>
    <t>Total*</t>
  </si>
  <si>
    <t>* Excluding Working Capital</t>
  </si>
  <si>
    <t>Sr. No</t>
  </si>
  <si>
    <t>Land (Acre)</t>
  </si>
  <si>
    <t>Productivity (ton)</t>
  </si>
  <si>
    <t>15-20</t>
  </si>
  <si>
    <t>Benefit to farmer</t>
  </si>
  <si>
    <t>Current Scenario</t>
  </si>
  <si>
    <t>Average current productivity per acre of Maize(in MT)</t>
  </si>
  <si>
    <t>Total Production of Maize (in MT)</t>
  </si>
  <si>
    <t>Cultivation to harvesting expenditure per acres</t>
  </si>
  <si>
    <t xml:space="preserve">Total Expenditure </t>
  </si>
  <si>
    <t>Packaging</t>
  </si>
  <si>
    <t>Net Revenue to Farmers</t>
  </si>
  <si>
    <t>Rate of Onion per MT</t>
  </si>
  <si>
    <t>Total Expenditure</t>
  </si>
  <si>
    <t>Post Intervention</t>
  </si>
  <si>
    <t>Total Revenue (In Rs.)</t>
  </si>
  <si>
    <t>Increase in Farmers income per acres after FPC intervention</t>
  </si>
  <si>
    <t>Total Land available for Onion per Acre</t>
  </si>
  <si>
    <t>Percentage%</t>
  </si>
  <si>
    <t>Lease</t>
  </si>
  <si>
    <t>Lease Deed</t>
  </si>
  <si>
    <t>GST @ 18%</t>
  </si>
  <si>
    <t xml:space="preserve">Outword- Transportation Cost </t>
  </si>
  <si>
    <t>Machine Mainteance</t>
  </si>
  <si>
    <t>Flour Mill</t>
  </si>
  <si>
    <t>Activity 1 - Flour Mill</t>
  </si>
  <si>
    <t>Operational days in a year (Days)</t>
  </si>
  <si>
    <t>60 Days</t>
  </si>
  <si>
    <t>Agrikot Ak 9X18 Seed Cum Fertilizer</t>
  </si>
  <si>
    <t>Post-Harvest</t>
  </si>
  <si>
    <t>Electricity Connection</t>
  </si>
  <si>
    <t>Whole Year</t>
  </si>
  <si>
    <t>IT &amp; IT Infrastructure</t>
  </si>
  <si>
    <t>240 Days</t>
  </si>
  <si>
    <t>Sq. Mtrs</t>
  </si>
  <si>
    <t>5 Kg</t>
  </si>
  <si>
    <t>10 Kg</t>
  </si>
  <si>
    <t>Wheat Flour - 50 Kg</t>
  </si>
  <si>
    <t>Quality Technician</t>
  </si>
  <si>
    <t>Insurance</t>
  </si>
  <si>
    <t>Construction of Warehouse</t>
  </si>
  <si>
    <t>Construction of Cleaning &amp; Grading Unit</t>
  </si>
  <si>
    <t xml:space="preserve">Cleaning &amp; Grading </t>
  </si>
  <si>
    <t>4 TPH</t>
  </si>
  <si>
    <t>Cleaning Section</t>
  </si>
  <si>
    <t>Elevator</t>
  </si>
  <si>
    <t>Wheat Crusher</t>
  </si>
  <si>
    <t>Dust Collector</t>
  </si>
  <si>
    <t>Reel Machine</t>
  </si>
  <si>
    <t>De-stoner</t>
  </si>
  <si>
    <t>Gravity/Vibro</t>
  </si>
  <si>
    <t>Storage &amp; Conditioning Section</t>
  </si>
  <si>
    <t>Worm Conveyor</t>
  </si>
  <si>
    <t>Storage Tank</t>
  </si>
  <si>
    <t>Milling &amp; Sieving Section</t>
  </si>
  <si>
    <t>Pneumatic System</t>
  </si>
  <si>
    <t>Centrifugal Siever</t>
  </si>
  <si>
    <t>Installation &amp; Extra</t>
  </si>
  <si>
    <t>Installation</t>
  </si>
  <si>
    <t>Electrical Starter</t>
  </si>
  <si>
    <t>1000 Kg/Hr</t>
  </si>
  <si>
    <t>Wheat Flour</t>
  </si>
  <si>
    <t>Jawar Flour - 50 Kg</t>
  </si>
  <si>
    <t>Job Work</t>
  </si>
  <si>
    <t>Roasted Bengal Gram</t>
  </si>
  <si>
    <t>Roasted Channa</t>
  </si>
  <si>
    <t>50 KG</t>
  </si>
  <si>
    <t>Quinatals</t>
  </si>
  <si>
    <t>Cleaning &amp; Grading</t>
  </si>
  <si>
    <t>17.2 Activity 6 - Profit and loss of Roasted Channa</t>
  </si>
  <si>
    <t>Facility 6 - Roasted Channa</t>
  </si>
  <si>
    <t>13.2 Facility 2 - Profit and loss of Cleaning &amp; Grading Unit</t>
  </si>
  <si>
    <t>Facility 2 - Cleaning &amp; Grading Unit</t>
  </si>
  <si>
    <t xml:space="preserve">Own Contribution (=Fixed Assets*10%)+Working Capital ) </t>
  </si>
  <si>
    <t>Facility 4 - Roasted Channa</t>
  </si>
  <si>
    <t>12.2 Facility 1 - Profit and loss of Flour Mill</t>
  </si>
  <si>
    <t>Facility 3 - Flour Mill</t>
  </si>
  <si>
    <t>BUCKET ELEVATOR TO FEED PRE CLEANER</t>
  </si>
  <si>
    <t>PRE CLEANER (APC-6)</t>
  </si>
  <si>
    <t>BUCKET ELEVATOR TO FEED FINE CLEANER</t>
  </si>
  <si>
    <t>FINE CLEANER (NANDI SUPER MODEL)</t>
  </si>
  <si>
    <t>INDENT CYLINDER WITH BYE-PASS ARRANGEMENT TO FEED THE MATERIAL TO GRAVITY SEPARATOR (AIC-5)</t>
  </si>
  <si>
    <t>BUCKET ELEVATOR TO FEED MAGNETIC SEPARATOR</t>
  </si>
  <si>
    <t>MAGNETIC SEPARATOR</t>
  </si>
  <si>
    <t>BUCKET ELEVATOR TO FEED GRAVITY SEPERATOR</t>
  </si>
  <si>
    <t>AUTOMATIC 7 FAN GRAVITY SEPARATOR</t>
  </si>
  <si>
    <t>(VFD WITH PANEL)</t>
  </si>
  <si>
    <t>ADDITIONAL 5 SCREENS EXTRA</t>
  </si>
  <si>
    <t>ADDITIONAL DECK FOR GRAVITY SEPARATOR</t>
  </si>
  <si>
    <t>CONTROL PANNEL</t>
  </si>
  <si>
    <t>STORAGE BIN (8 TON)</t>
  </si>
  <si>
    <t>Installation Charges</t>
  </si>
  <si>
    <t>Transportation</t>
  </si>
  <si>
    <t>Packaging Machine</t>
  </si>
  <si>
    <t>AUTOMATIC WEIGHING AND FILLING MACHINE (25-50 KG Capacity)</t>
  </si>
  <si>
    <t>BELT CONVEYOR , TO MOVE FILL BAG FOR STITCHING PURPOSE</t>
  </si>
  <si>
    <t>STITCHING MACHINE</t>
  </si>
  <si>
    <t>AIR COMPRESSOR</t>
  </si>
  <si>
    <t>STORAGE BIN</t>
  </si>
  <si>
    <t>63 KVA Transformer</t>
  </si>
  <si>
    <t>Solar</t>
  </si>
  <si>
    <t>100 kw on-grid rooftop solar system</t>
  </si>
  <si>
    <t>100 Kw</t>
  </si>
  <si>
    <t>GST @ 12%</t>
  </si>
  <si>
    <t xml:space="preserve">The project internal rate of return shall be more than 10% </t>
  </si>
  <si>
    <t xml:space="preserve">Construction of Flour Mill </t>
  </si>
  <si>
    <t>Computer &amp; Xerox Machine</t>
  </si>
  <si>
    <t>Activity 2 - Cleaning &amp; Grading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</si>
</sst>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 numFmtId="179" formatCode="_ * #,##0.0_ ;_ * \-#,##0.0_ ;_ * &quot;-&quot;?_ ;_ @_ "/>
  </numFmts>
  <fonts count="70">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11"/>
      <color theme="0"/>
      <name val="Garamond"/>
      <family val="1"/>
    </font>
    <font>
      <sz val="11"/>
      <color theme="1"/>
      <name val="Garamond"/>
      <family val="1"/>
    </font>
    <font>
      <b/>
      <sz val="11"/>
      <color theme="1"/>
      <name val="Garamond"/>
      <family val="1"/>
    </font>
    <font>
      <sz val="10"/>
      <color theme="1"/>
      <name val="Times New Roman"/>
      <family val="1"/>
    </font>
  </fonts>
  <fills count="13">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481">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164"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71" fontId="4" fillId="0" borderId="1" xfId="10" applyNumberFormat="1" applyFont="1" applyFill="1" applyBorder="1"/>
    <xf numFmtId="0" fontId="6" fillId="0" borderId="1" xfId="0" applyFont="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164" fontId="27" fillId="0" borderId="0" xfId="0" applyNumberFormat="1" applyFont="1"/>
    <xf numFmtId="1" fontId="27" fillId="0" borderId="0" xfId="0" applyNumberFormat="1" applyFont="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8" fillId="0" borderId="1" xfId="3" applyNumberFormat="1" applyFont="1" applyBorder="1"/>
    <xf numFmtId="169" fontId="27" fillId="0" borderId="1" xfId="0" applyNumberFormat="1" applyFont="1" applyBorder="1"/>
    <xf numFmtId="167" fontId="27" fillId="0" borderId="1" xfId="3" applyNumberFormat="1" applyFont="1" applyFill="1" applyBorder="1"/>
    <xf numFmtId="167" fontId="27" fillId="0" borderId="1" xfId="0" applyNumberFormat="1" applyFont="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0" fontId="12" fillId="6" borderId="1" xfId="0" applyFont="1" applyFill="1" applyBorder="1" applyAlignment="1">
      <alignment vertical="center" wrapText="1"/>
    </xf>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7" fillId="0" borderId="0" xfId="2" applyNumberFormat="1" applyFont="1" applyBorder="1"/>
    <xf numFmtId="0" fontId="53" fillId="5" borderId="1" xfId="0" applyFont="1" applyFill="1" applyBorder="1" applyAlignment="1">
      <alignment horizontal="center"/>
    </xf>
    <xf numFmtId="0" fontId="53"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1" fillId="0" borderId="0" xfId="0" applyFont="1"/>
    <xf numFmtId="0" fontId="30" fillId="5" borderId="1" xfId="0" applyFont="1" applyFill="1" applyBorder="1"/>
    <xf numFmtId="9" fontId="57" fillId="7" borderId="1" xfId="0" applyNumberFormat="1" applyFont="1" applyFill="1" applyBorder="1"/>
    <xf numFmtId="170" fontId="57" fillId="7" borderId="1" xfId="0" applyNumberFormat="1" applyFont="1" applyFill="1" applyBorder="1"/>
    <xf numFmtId="0" fontId="56" fillId="0" borderId="0" xfId="0" applyFo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8"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59" fillId="7" borderId="1" xfId="0" applyNumberFormat="1" applyFont="1" applyFill="1" applyBorder="1"/>
    <xf numFmtId="169" fontId="59" fillId="0" borderId="1" xfId="0" applyNumberFormat="1" applyFont="1" applyBorder="1"/>
    <xf numFmtId="0" fontId="59" fillId="0" borderId="1" xfId="0" applyFont="1" applyBorder="1"/>
    <xf numFmtId="169" fontId="58"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9" xfId="0" applyFont="1" applyBorder="1" applyAlignment="1">
      <alignment horizontal="left" vertical="center" wrapText="1"/>
    </xf>
    <xf numFmtId="0" fontId="44" fillId="0" borderId="0" xfId="0" applyFont="1" applyAlignment="1">
      <alignment horizontal="left" vertical="center" wrapText="1"/>
    </xf>
    <xf numFmtId="0" fontId="44"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4" fillId="0" borderId="0" xfId="1" applyNumberFormat="1" applyFont="1" applyFill="1" applyBorder="1"/>
    <xf numFmtId="0" fontId="27" fillId="0" borderId="1" xfId="0" applyFont="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9" fontId="44" fillId="0" borderId="1" xfId="1" applyFont="1" applyFill="1" applyBorder="1" applyAlignment="1">
      <alignment horizontal="right" vertical="center" wrapText="1"/>
    </xf>
    <xf numFmtId="0" fontId="0" fillId="0" borderId="2" xfId="0" applyBorder="1"/>
    <xf numFmtId="0" fontId="50" fillId="0" borderId="0" xfId="0" applyFont="1" applyAlignment="1">
      <alignment horizontal="center" wrapText="1"/>
    </xf>
    <xf numFmtId="173" fontId="30" fillId="0" borderId="1" xfId="9" applyNumberFormat="1" applyFont="1" applyFill="1" applyBorder="1" applyAlignment="1">
      <alignment horizontal="right" vertical="center"/>
    </xf>
    <xf numFmtId="169" fontId="27" fillId="0" borderId="1" xfId="2" applyNumberFormat="1" applyFont="1" applyBorder="1" applyAlignment="1">
      <alignment horizontal="right"/>
    </xf>
    <xf numFmtId="2" fontId="28" fillId="0" borderId="0" xfId="0" applyNumberFormat="1" applyFont="1"/>
    <xf numFmtId="169" fontId="44" fillId="0" borderId="1" xfId="2" applyNumberFormat="1" applyFont="1" applyFill="1" applyBorder="1" applyAlignment="1">
      <alignment horizontal="right" vertical="center" wrapText="1"/>
    </xf>
    <xf numFmtId="9" fontId="66" fillId="12" borderId="1" xfId="0" applyNumberFormat="1" applyFont="1" applyFill="1" applyBorder="1" applyAlignment="1">
      <alignment wrapText="1"/>
    </xf>
    <xf numFmtId="0" fontId="67" fillId="0" borderId="0" xfId="0" applyFont="1"/>
    <xf numFmtId="0" fontId="67" fillId="0" borderId="1" xfId="0" applyFont="1" applyBorder="1"/>
    <xf numFmtId="2" fontId="67" fillId="0" borderId="1" xfId="0" applyNumberFormat="1" applyFont="1" applyBorder="1"/>
    <xf numFmtId="169" fontId="67" fillId="0" borderId="1" xfId="2" applyNumberFormat="1" applyFont="1" applyBorder="1"/>
    <xf numFmtId="43" fontId="67" fillId="0" borderId="1" xfId="2" applyFont="1" applyBorder="1"/>
    <xf numFmtId="178" fontId="67" fillId="0" borderId="1" xfId="2" applyNumberFormat="1" applyFont="1" applyBorder="1"/>
    <xf numFmtId="0" fontId="68" fillId="0" borderId="1" xfId="0" applyFont="1" applyBorder="1"/>
    <xf numFmtId="169" fontId="67" fillId="0" borderId="0" xfId="2" applyNumberFormat="1" applyFont="1" applyBorder="1"/>
    <xf numFmtId="43" fontId="67" fillId="0" borderId="1" xfId="0" applyNumberFormat="1" applyFont="1" applyBorder="1"/>
    <xf numFmtId="2" fontId="67" fillId="0" borderId="0" xfId="0" applyNumberFormat="1" applyFont="1"/>
    <xf numFmtId="2" fontId="68" fillId="0" borderId="1" xfId="0" applyNumberFormat="1" applyFont="1" applyBorder="1"/>
    <xf numFmtId="43" fontId="68" fillId="0" borderId="1" xfId="2" applyFont="1" applyBorder="1"/>
    <xf numFmtId="169" fontId="68" fillId="0" borderId="1" xfId="2" applyNumberFormat="1" applyFont="1" applyBorder="1"/>
    <xf numFmtId="43" fontId="68" fillId="0" borderId="1" xfId="0" applyNumberFormat="1" applyFont="1" applyBorder="1"/>
    <xf numFmtId="10" fontId="0" fillId="0" borderId="1" xfId="1" applyNumberFormat="1" applyFont="1" applyBorder="1"/>
    <xf numFmtId="167" fontId="42" fillId="6" borderId="1" xfId="3" applyNumberFormat="1" applyFont="1" applyFill="1" applyBorder="1" applyAlignment="1">
      <alignment horizontal="center" vertical="center" wrapText="1"/>
    </xf>
    <xf numFmtId="10" fontId="0" fillId="0" borderId="1" xfId="1" applyNumberFormat="1" applyFont="1" applyBorder="1" applyAlignment="1">
      <alignment vertical="center"/>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66" fontId="29" fillId="0" borderId="1" xfId="3" applyFont="1" applyFill="1" applyBorder="1" applyAlignment="1">
      <alignment horizontal="right" vertical="center" wrapText="1"/>
    </xf>
    <xf numFmtId="169" fontId="29" fillId="0" borderId="1" xfId="2" applyNumberFormat="1" applyFont="1" applyFill="1" applyBorder="1" applyAlignment="1">
      <alignment horizontal="left" vertical="center" wrapText="1"/>
    </xf>
    <xf numFmtId="169" fontId="29" fillId="0" borderId="1" xfId="2" applyNumberFormat="1" applyFont="1" applyFill="1" applyBorder="1" applyAlignment="1">
      <alignment vertical="center" wrapText="1"/>
    </xf>
    <xf numFmtId="169" fontId="29" fillId="0" borderId="1" xfId="2" applyNumberFormat="1" applyFont="1" applyFill="1" applyBorder="1" applyAlignment="1">
      <alignment horizontal="right" vertical="center" wrapText="1"/>
    </xf>
    <xf numFmtId="167" fontId="41" fillId="0" borderId="1" xfId="3" applyNumberFormat="1" applyFont="1" applyFill="1" applyBorder="1" applyAlignment="1">
      <alignment horizontal="right" vertical="center" wrapText="1"/>
    </xf>
    <xf numFmtId="0" fontId="2" fillId="0" borderId="1" xfId="0" applyFont="1" applyBorder="1" applyAlignment="1">
      <alignment wrapText="1"/>
    </xf>
    <xf numFmtId="0" fontId="41" fillId="0" borderId="9" xfId="0" applyFont="1" applyBorder="1" applyAlignment="1">
      <alignment horizontal="right" vertical="center" wrapText="1"/>
    </xf>
    <xf numFmtId="0" fontId="41" fillId="0" borderId="10" xfId="0" applyFont="1" applyBorder="1" applyAlignment="1">
      <alignment vertical="center" wrapText="1"/>
    </xf>
    <xf numFmtId="167" fontId="41" fillId="0" borderId="10" xfId="3" applyNumberFormat="1" applyFont="1" applyFill="1" applyBorder="1" applyAlignment="1">
      <alignment horizontal="right" vertical="center" wrapText="1"/>
    </xf>
    <xf numFmtId="167" fontId="42" fillId="0" borderId="10" xfId="3" applyNumberFormat="1" applyFont="1" applyFill="1" applyBorder="1" applyAlignment="1">
      <alignment horizontal="right" vertical="center" wrapText="1"/>
    </xf>
    <xf numFmtId="169" fontId="28" fillId="0" borderId="1" xfId="2" applyNumberFormat="1" applyFont="1" applyFill="1" applyBorder="1"/>
    <xf numFmtId="167" fontId="28" fillId="0" borderId="1" xfId="0" applyNumberFormat="1" applyFont="1" applyBorder="1"/>
    <xf numFmtId="9" fontId="27" fillId="0" borderId="1" xfId="1" applyFont="1" applyFill="1" applyBorder="1"/>
    <xf numFmtId="164" fontId="0" fillId="0" borderId="1" xfId="0" applyNumberFormat="1" applyBorder="1"/>
    <xf numFmtId="0" fontId="11" fillId="5" borderId="8" xfId="0" applyFont="1" applyFill="1" applyBorder="1" applyAlignment="1">
      <alignment vertical="center"/>
    </xf>
    <xf numFmtId="0" fontId="11" fillId="5" borderId="4" xfId="0" applyFont="1" applyFill="1" applyBorder="1" applyAlignment="1">
      <alignment vertical="center"/>
    </xf>
    <xf numFmtId="0" fontId="12" fillId="0" borderId="10" xfId="0" applyFont="1" applyBorder="1" applyAlignment="1">
      <alignment vertical="center"/>
    </xf>
    <xf numFmtId="0" fontId="12" fillId="0" borderId="9" xfId="0" applyFont="1" applyBorder="1" applyAlignment="1">
      <alignment horizontal="right" vertical="center"/>
    </xf>
    <xf numFmtId="0" fontId="12" fillId="0" borderId="10" xfId="0" applyFont="1" applyBorder="1" applyAlignment="1">
      <alignment horizontal="center" vertical="center"/>
    </xf>
    <xf numFmtId="0" fontId="13" fillId="0" borderId="9" xfId="0" applyFont="1" applyBorder="1" applyAlignment="1">
      <alignment vertical="center"/>
    </xf>
    <xf numFmtId="0" fontId="13" fillId="0" borderId="10" xfId="0" applyFont="1" applyBorder="1" applyAlignment="1">
      <alignment vertical="center"/>
    </xf>
    <xf numFmtId="0" fontId="69" fillId="0" borderId="10" xfId="0" applyFont="1" applyBorder="1"/>
    <xf numFmtId="0" fontId="69" fillId="0" borderId="10" xfId="0" applyFont="1" applyBorder="1" applyAlignment="1">
      <alignment horizontal="center"/>
    </xf>
    <xf numFmtId="169" fontId="29" fillId="0" borderId="20" xfId="2" applyNumberFormat="1" applyFont="1" applyFill="1" applyBorder="1" applyAlignment="1">
      <alignment vertical="center" wrapText="1"/>
    </xf>
    <xf numFmtId="166" fontId="12" fillId="6" borderId="1" xfId="3" applyFont="1" applyFill="1" applyBorder="1" applyAlignment="1">
      <alignment horizontal="center" vertical="center" wrapText="1"/>
    </xf>
    <xf numFmtId="179" fontId="0" fillId="0" borderId="0" xfId="0" applyNumberFormat="1"/>
    <xf numFmtId="171" fontId="27" fillId="0" borderId="1" xfId="0" applyNumberFormat="1" applyFont="1" applyBorder="1"/>
    <xf numFmtId="171" fontId="27" fillId="0" borderId="0" xfId="0" applyNumberFormat="1" applyFont="1"/>
    <xf numFmtId="10" fontId="27" fillId="6" borderId="1" xfId="1" applyNumberFormat="1" applyFont="1" applyFill="1" applyBorder="1"/>
    <xf numFmtId="1" fontId="0" fillId="7" borderId="1" xfId="0" applyNumberFormat="1" applyFill="1" applyBorder="1"/>
    <xf numFmtId="1" fontId="2" fillId="6" borderId="1" xfId="0" applyNumberFormat="1" applyFont="1" applyFill="1" applyBorder="1"/>
    <xf numFmtId="10" fontId="0" fillId="0" borderId="2" xfId="1" applyNumberFormat="1" applyFont="1" applyBorder="1" applyAlignment="1">
      <alignment vertical="center"/>
    </xf>
    <xf numFmtId="10" fontId="0" fillId="0" borderId="14" xfId="1" applyNumberFormat="1" applyFont="1" applyBorder="1" applyAlignment="1">
      <alignment vertical="center"/>
    </xf>
    <xf numFmtId="9" fontId="0" fillId="0" borderId="1" xfId="1" applyFont="1" applyBorder="1" applyAlignment="1">
      <alignment horizontal="center"/>
    </xf>
    <xf numFmtId="171" fontId="27" fillId="0" borderId="1" xfId="2" applyNumberFormat="1" applyFont="1" applyFill="1" applyBorder="1"/>
    <xf numFmtId="171" fontId="28" fillId="0" borderId="1" xfId="2" applyNumberFormat="1" applyFont="1" applyFill="1" applyBorder="1"/>
    <xf numFmtId="171" fontId="27" fillId="0" borderId="1" xfId="2" applyNumberFormat="1" applyFont="1" applyBorder="1"/>
    <xf numFmtId="0" fontId="60" fillId="10" borderId="1" xfId="0" applyFont="1" applyFill="1" applyBorder="1" applyAlignment="1">
      <alignment horizontal="left" vertical="center" wrapText="1"/>
    </xf>
    <xf numFmtId="0" fontId="61"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26" fillId="0" borderId="0" xfId="0" applyFont="1" applyAlignment="1">
      <alignment horizontal="center"/>
    </xf>
    <xf numFmtId="0" fontId="58" fillId="0" borderId="1" xfId="0" applyFont="1" applyBorder="1" applyAlignment="1">
      <alignment horizontal="center" vertical="center" wrapText="1"/>
    </xf>
    <xf numFmtId="0" fontId="2" fillId="0" borderId="0" xfId="0" applyFont="1" applyAlignment="1">
      <alignment horizontal="center"/>
    </xf>
    <xf numFmtId="0" fontId="50"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2" fillId="0" borderId="1" xfId="0" applyFont="1" applyBorder="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2" fillId="0" borderId="0" xfId="0" applyFont="1" applyAlignment="1">
      <alignment horizontal="left" wrapText="1"/>
    </xf>
    <xf numFmtId="0" fontId="2" fillId="7" borderId="0" xfId="0" applyFont="1" applyFill="1" applyAlignment="1">
      <alignment horizontal="center"/>
    </xf>
    <xf numFmtId="0" fontId="42" fillId="6" borderId="15"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13" fillId="0" borderId="1" xfId="0" applyFont="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0" fillId="0" borderId="1" xfId="0" applyBorder="1" applyAlignment="1">
      <alignment horizontal="center"/>
    </xf>
    <xf numFmtId="10" fontId="0" fillId="0" borderId="1" xfId="1" applyNumberFormat="1" applyFont="1" applyBorder="1" applyAlignment="1">
      <alignment horizontal="center" vertical="center"/>
    </xf>
    <xf numFmtId="10" fontId="0" fillId="0" borderId="20" xfId="1" applyNumberFormat="1" applyFont="1" applyBorder="1" applyAlignment="1">
      <alignment horizontal="center" vertical="center" wrapText="1"/>
    </xf>
    <xf numFmtId="10" fontId="0" fillId="0" borderId="2" xfId="1" applyNumberFormat="1"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2" fillId="0" borderId="0" xfId="0" applyFont="1" applyAlignment="1">
      <alignment horizont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56"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2"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xf numFmtId="0" fontId="66" fillId="12" borderId="15" xfId="0" applyFont="1" applyFill="1" applyBorder="1" applyAlignment="1">
      <alignment horizontal="center" wrapText="1"/>
    </xf>
    <xf numFmtId="0" fontId="66" fillId="12" borderId="21" xfId="0" applyFont="1" applyFill="1" applyBorder="1" applyAlignment="1">
      <alignment horizont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2">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ISHVJEET/Vishwajeet/S.M.A.R.T/MCDC/Jangalewadi_A.nagar/Jangalewadi%20PA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ject Cost"/>
      <sheetName val="Summary"/>
      <sheetName val="Revenue-Dairy Farm"/>
      <sheetName val="Revenue-Dairy Processing"/>
      <sheetName val="Assumptions"/>
      <sheetName val="wareshousing"/>
      <sheetName val="Benefit to farmer"/>
      <sheetName val="C&amp; G"/>
      <sheetName val="Custom Hiring"/>
      <sheetName val="Revenue-Warehouse"/>
      <sheetName val="Opex"/>
      <sheetName val="Depreciation"/>
      <sheetName val="Interest"/>
      <sheetName val="Working Capital Requirement"/>
      <sheetName val="Tax"/>
      <sheetName val="P&amp;L"/>
      <sheetName val="CF &amp; BS"/>
      <sheetName val="Ratios"/>
      <sheetName val="Sheet2"/>
      <sheetName val="Sentivity Analysis"/>
    </sheetNames>
    <sheetDataSet>
      <sheetData sheetId="0"/>
      <sheetData sheetId="1"/>
      <sheetData sheetId="2"/>
      <sheetData sheetId="3"/>
      <sheetData sheetId="4"/>
      <sheetData sheetId="5">
        <row r="17">
          <cell r="B17">
            <v>0.05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workbookViewId="0"/>
  </sheetViews>
  <sheetFormatPr defaultColWidth="9.140625" defaultRowHeight="15"/>
  <cols>
    <col min="1" max="1" width="12.85546875" style="305" customWidth="1"/>
    <col min="2" max="2" width="56" style="305" customWidth="1"/>
    <col min="3" max="3" width="31.42578125" style="305" customWidth="1"/>
    <col min="4" max="4" width="15.28515625" style="305" customWidth="1"/>
    <col min="5" max="5" width="29.42578125" style="305" hidden="1" customWidth="1"/>
    <col min="6" max="16384" width="9.140625" style="305"/>
  </cols>
  <sheetData>
    <row r="2" spans="1:5" ht="26.25" customHeight="1">
      <c r="A2" s="388" t="s">
        <v>620</v>
      </c>
      <c r="B2" s="388"/>
      <c r="C2" s="388"/>
      <c r="D2" s="388"/>
      <c r="E2" s="388"/>
    </row>
    <row r="3" spans="1:5" ht="26.25" customHeight="1">
      <c r="A3" s="389" t="s">
        <v>616</v>
      </c>
      <c r="B3" s="389"/>
      <c r="C3" s="389"/>
      <c r="D3" s="389"/>
      <c r="E3" s="389"/>
    </row>
    <row r="4" spans="1:5" ht="23.25" customHeight="1">
      <c r="A4" s="387" t="s">
        <v>587</v>
      </c>
      <c r="B4" s="387"/>
      <c r="C4" s="387"/>
      <c r="D4" s="387"/>
      <c r="E4" s="387"/>
    </row>
    <row r="5" spans="1:5" ht="240.75" customHeight="1">
      <c r="A5" s="390" t="s">
        <v>621</v>
      </c>
      <c r="B5" s="390"/>
      <c r="C5" s="390"/>
      <c r="D5" s="390"/>
      <c r="E5" s="390"/>
    </row>
    <row r="6" spans="1:5" ht="23.25" customHeight="1">
      <c r="A6" s="387" t="s">
        <v>588</v>
      </c>
      <c r="B6" s="387"/>
      <c r="C6" s="387"/>
      <c r="D6" s="387"/>
      <c r="E6" s="387"/>
    </row>
    <row r="7" spans="1:5" ht="108" customHeight="1">
      <c r="A7" s="397" t="s">
        <v>656</v>
      </c>
      <c r="B7" s="398"/>
      <c r="C7" s="398"/>
      <c r="D7" s="398"/>
      <c r="E7" s="399"/>
    </row>
    <row r="8" spans="1:5" ht="23.25" customHeight="1">
      <c r="A8" s="400" t="s">
        <v>622</v>
      </c>
      <c r="B8" s="400"/>
      <c r="C8" s="400"/>
      <c r="D8" s="400"/>
      <c r="E8" s="400"/>
    </row>
    <row r="9" spans="1:5" ht="105.75" customHeight="1">
      <c r="A9" s="390" t="s">
        <v>660</v>
      </c>
      <c r="B9" s="390"/>
      <c r="C9" s="390"/>
      <c r="D9" s="390"/>
      <c r="E9" s="390"/>
    </row>
    <row r="10" spans="1:5" ht="23.25">
      <c r="A10" s="387" t="s">
        <v>614</v>
      </c>
      <c r="B10" s="387"/>
      <c r="C10" s="387"/>
      <c r="D10" s="387"/>
      <c r="E10" s="387"/>
    </row>
    <row r="11" spans="1:5">
      <c r="A11" s="305" t="s">
        <v>612</v>
      </c>
      <c r="B11" s="305" t="s">
        <v>150</v>
      </c>
    </row>
    <row r="12" spans="1:5" ht="20.25" customHeight="1">
      <c r="A12" s="308"/>
      <c r="B12" s="401" t="s">
        <v>392</v>
      </c>
      <c r="C12" s="402"/>
      <c r="D12" s="402"/>
      <c r="E12" s="403"/>
    </row>
    <row r="13" spans="1:5">
      <c r="A13" s="309"/>
      <c r="B13" s="391" t="s">
        <v>393</v>
      </c>
      <c r="C13" s="391"/>
      <c r="D13" s="391"/>
      <c r="E13" s="391"/>
    </row>
    <row r="14" spans="1:5">
      <c r="A14" s="392"/>
      <c r="B14" s="392"/>
      <c r="C14" s="392"/>
      <c r="D14" s="392"/>
      <c r="E14" s="393"/>
    </row>
    <row r="15" spans="1:5" ht="23.25">
      <c r="A15" s="387" t="s">
        <v>615</v>
      </c>
      <c r="B15" s="387"/>
      <c r="C15" s="387"/>
      <c r="D15" s="387"/>
      <c r="E15" s="387"/>
    </row>
    <row r="16" spans="1:5">
      <c r="A16" s="306" t="s">
        <v>589</v>
      </c>
      <c r="B16" s="306" t="s">
        <v>623</v>
      </c>
      <c r="C16" s="306" t="s">
        <v>442</v>
      </c>
      <c r="D16" s="306" t="s">
        <v>590</v>
      </c>
      <c r="E16" s="306" t="s">
        <v>591</v>
      </c>
    </row>
    <row r="17" spans="1:5">
      <c r="A17" s="312" t="s">
        <v>172</v>
      </c>
      <c r="B17" s="312" t="s">
        <v>624</v>
      </c>
      <c r="C17" s="312"/>
      <c r="D17" s="312"/>
      <c r="E17" s="312"/>
    </row>
    <row r="18" spans="1:5" ht="45">
      <c r="A18" s="313" t="s">
        <v>592</v>
      </c>
      <c r="B18" s="307" t="s">
        <v>593</v>
      </c>
      <c r="C18" s="307" t="s">
        <v>657</v>
      </c>
      <c r="D18" s="307" t="s">
        <v>625</v>
      </c>
      <c r="E18" s="307"/>
    </row>
    <row r="19" spans="1:5" ht="60">
      <c r="A19" s="313" t="s">
        <v>594</v>
      </c>
      <c r="B19" s="307" t="s">
        <v>595</v>
      </c>
      <c r="C19" s="307" t="s">
        <v>658</v>
      </c>
      <c r="D19" s="307" t="s">
        <v>626</v>
      </c>
      <c r="E19" s="307"/>
    </row>
    <row r="20" spans="1:5" ht="36" customHeight="1">
      <c r="A20" s="313" t="s">
        <v>596</v>
      </c>
      <c r="B20" s="267" t="s">
        <v>617</v>
      </c>
      <c r="C20" s="307" t="s">
        <v>627</v>
      </c>
      <c r="D20" s="307" t="s">
        <v>628</v>
      </c>
      <c r="E20" s="307" t="s">
        <v>618</v>
      </c>
    </row>
    <row r="21" spans="1:5" ht="30">
      <c r="A21" s="313" t="s">
        <v>598</v>
      </c>
      <c r="B21" s="307" t="s">
        <v>659</v>
      </c>
      <c r="C21" s="307"/>
      <c r="D21" s="307"/>
      <c r="E21" s="307"/>
    </row>
    <row r="22" spans="1:5">
      <c r="A22" s="307">
        <v>4.0999999999999996</v>
      </c>
      <c r="B22" s="307" t="s">
        <v>599</v>
      </c>
      <c r="C22" s="394" t="s">
        <v>629</v>
      </c>
      <c r="D22" s="307" t="s">
        <v>630</v>
      </c>
      <c r="E22" s="307"/>
    </row>
    <row r="23" spans="1:5" ht="30">
      <c r="A23" s="307">
        <v>4.2</v>
      </c>
      <c r="B23" s="307" t="s">
        <v>600</v>
      </c>
      <c r="C23" s="395"/>
      <c r="D23" s="307" t="s">
        <v>631</v>
      </c>
      <c r="E23" s="307"/>
    </row>
    <row r="24" spans="1:5">
      <c r="A24" s="307">
        <v>4.3</v>
      </c>
      <c r="B24" s="307" t="s">
        <v>601</v>
      </c>
      <c r="C24" s="395"/>
      <c r="D24" s="307" t="s">
        <v>632</v>
      </c>
      <c r="E24" s="307"/>
    </row>
    <row r="25" spans="1:5">
      <c r="A25" s="307">
        <v>4.4000000000000004</v>
      </c>
      <c r="B25" s="307" t="s">
        <v>602</v>
      </c>
      <c r="C25" s="395"/>
      <c r="D25" s="307" t="s">
        <v>633</v>
      </c>
      <c r="E25" s="307"/>
    </row>
    <row r="26" spans="1:5">
      <c r="A26" s="307">
        <v>4.5</v>
      </c>
      <c r="B26" s="307" t="s">
        <v>603</v>
      </c>
      <c r="C26" s="395"/>
      <c r="D26" s="307" t="s">
        <v>634</v>
      </c>
      <c r="E26" s="307"/>
    </row>
    <row r="27" spans="1:5">
      <c r="A27" s="307">
        <v>4.5999999999999996</v>
      </c>
      <c r="B27" s="307" t="s">
        <v>604</v>
      </c>
      <c r="C27" s="396"/>
      <c r="D27" s="307" t="s">
        <v>635</v>
      </c>
      <c r="E27" s="307"/>
    </row>
    <row r="28" spans="1:5" ht="45">
      <c r="A28" s="313" t="s">
        <v>605</v>
      </c>
      <c r="B28" s="307" t="s">
        <v>597</v>
      </c>
      <c r="C28" s="307" t="s">
        <v>636</v>
      </c>
      <c r="D28" s="307" t="s">
        <v>661</v>
      </c>
      <c r="E28" s="307"/>
    </row>
    <row r="29" spans="1:5" ht="45">
      <c r="A29" s="313" t="s">
        <v>606</v>
      </c>
      <c r="B29" s="307" t="s">
        <v>637</v>
      </c>
      <c r="C29" s="307" t="s">
        <v>638</v>
      </c>
      <c r="D29" s="307" t="s">
        <v>639</v>
      </c>
      <c r="E29" s="307"/>
    </row>
    <row r="30" spans="1:5" ht="30">
      <c r="A30" s="313" t="s">
        <v>613</v>
      </c>
      <c r="B30" s="307" t="s">
        <v>607</v>
      </c>
      <c r="C30" s="307" t="s">
        <v>640</v>
      </c>
      <c r="D30" s="307" t="s">
        <v>641</v>
      </c>
      <c r="E30" s="307"/>
    </row>
    <row r="31" spans="1:5">
      <c r="A31" s="312" t="s">
        <v>173</v>
      </c>
      <c r="B31" s="314" t="s">
        <v>642</v>
      </c>
      <c r="C31" s="312"/>
      <c r="D31" s="312"/>
      <c r="E31" s="312"/>
    </row>
    <row r="32" spans="1:5" ht="26.25" customHeight="1">
      <c r="A32" s="315" t="s">
        <v>643</v>
      </c>
      <c r="B32" s="307" t="s">
        <v>608</v>
      </c>
      <c r="C32" s="307"/>
      <c r="D32" s="307" t="s">
        <v>644</v>
      </c>
      <c r="E32" s="307" t="s">
        <v>618</v>
      </c>
    </row>
    <row r="33" spans="1:5">
      <c r="A33" s="315" t="s">
        <v>645</v>
      </c>
      <c r="B33" s="307" t="s">
        <v>609</v>
      </c>
      <c r="C33" s="307"/>
      <c r="D33" s="307" t="s">
        <v>646</v>
      </c>
      <c r="E33" s="307" t="s">
        <v>618</v>
      </c>
    </row>
    <row r="34" spans="1:5">
      <c r="A34" s="315" t="s">
        <v>647</v>
      </c>
      <c r="B34" s="307" t="s">
        <v>610</v>
      </c>
      <c r="C34" s="307"/>
      <c r="D34" s="307" t="s">
        <v>648</v>
      </c>
      <c r="E34" s="307" t="s">
        <v>618</v>
      </c>
    </row>
    <row r="35" spans="1:5" ht="35.25" customHeight="1">
      <c r="A35" s="315" t="s">
        <v>649</v>
      </c>
      <c r="B35" s="307" t="s">
        <v>611</v>
      </c>
      <c r="C35" s="307"/>
      <c r="D35" s="307" t="s">
        <v>650</v>
      </c>
      <c r="E35" s="307" t="s">
        <v>618</v>
      </c>
    </row>
    <row r="36" spans="1:5" ht="35.25" customHeight="1">
      <c r="A36" s="315" t="s">
        <v>651</v>
      </c>
      <c r="B36" s="307" t="s">
        <v>652</v>
      </c>
      <c r="C36" s="307"/>
      <c r="D36" s="307" t="s">
        <v>653</v>
      </c>
      <c r="E36" s="307" t="s">
        <v>618</v>
      </c>
    </row>
    <row r="37" spans="1:5">
      <c r="A37" s="313" t="s">
        <v>654</v>
      </c>
      <c r="B37" s="307" t="s">
        <v>655</v>
      </c>
      <c r="C37" s="307"/>
      <c r="D37" s="307"/>
      <c r="E37" s="307"/>
    </row>
  </sheetData>
  <mergeCells count="14">
    <mergeCell ref="B13:E13"/>
    <mergeCell ref="A14:E14"/>
    <mergeCell ref="A15:E15"/>
    <mergeCell ref="C22:C27"/>
    <mergeCell ref="A7:E7"/>
    <mergeCell ref="A8:E8"/>
    <mergeCell ref="A9:E9"/>
    <mergeCell ref="A10:E10"/>
    <mergeCell ref="B12:E12"/>
    <mergeCell ref="A6:E6"/>
    <mergeCell ref="A2:E2"/>
    <mergeCell ref="A3:E3"/>
    <mergeCell ref="A4:E4"/>
    <mergeCell ref="A5:E5"/>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view="pageBreakPreview" zoomScale="80" zoomScaleSheetLayoutView="80" workbookViewId="0">
      <selection activeCell="A4" sqref="A4:I36"/>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22"/>
      <c r="B1" s="422"/>
      <c r="C1" s="422"/>
      <c r="D1" s="422"/>
      <c r="E1" s="422"/>
      <c r="F1" s="422"/>
      <c r="G1" s="422"/>
    </row>
    <row r="2" spans="1:10" ht="18.75">
      <c r="A2" s="404" t="s">
        <v>548</v>
      </c>
      <c r="B2" s="404"/>
      <c r="C2" s="404"/>
      <c r="D2" s="404"/>
      <c r="E2" s="404"/>
      <c r="F2" s="404"/>
      <c r="G2" s="404"/>
      <c r="H2" s="404"/>
      <c r="I2" s="404"/>
      <c r="J2" s="5"/>
    </row>
    <row r="4" spans="1:10">
      <c r="A4" s="48" t="s">
        <v>226</v>
      </c>
      <c r="B4" s="48" t="s">
        <v>0</v>
      </c>
      <c r="C4" s="49" t="s">
        <v>2</v>
      </c>
      <c r="D4" s="49" t="s">
        <v>3</v>
      </c>
      <c r="E4" s="49" t="s">
        <v>4</v>
      </c>
      <c r="F4" s="49" t="s">
        <v>5</v>
      </c>
      <c r="G4" s="49" t="s">
        <v>6</v>
      </c>
      <c r="H4" s="49" t="s">
        <v>168</v>
      </c>
      <c r="I4" s="49" t="s">
        <v>167</v>
      </c>
    </row>
    <row r="5" spans="1:10">
      <c r="A5" s="31">
        <v>1</v>
      </c>
      <c r="B5" s="31" t="s">
        <v>357</v>
      </c>
      <c r="C5" s="32"/>
      <c r="D5" s="32"/>
      <c r="E5" s="32"/>
      <c r="F5" s="32"/>
      <c r="G5" s="32"/>
      <c r="H5" s="32"/>
      <c r="I5" s="32"/>
    </row>
    <row r="6" spans="1:10">
      <c r="A6" s="31"/>
      <c r="B6" s="33" t="s">
        <v>357</v>
      </c>
      <c r="C6" s="32">
        <f>'6.Cons Profit &amp; Loss'!B15</f>
        <v>50381994.715680987</v>
      </c>
      <c r="D6" s="32">
        <f>'6.Cons Profit &amp; Loss'!C15</f>
        <v>62383071.487577915</v>
      </c>
      <c r="E6" s="32">
        <f>'6.Cons Profit &amp; Loss'!D15</f>
        <v>73146467.363118902</v>
      </c>
      <c r="F6" s="32">
        <f>'6.Cons Profit &amp; Loss'!E15</f>
        <v>84830245.147495031</v>
      </c>
      <c r="G6" s="32">
        <f>'6.Cons Profit &amp; Loss'!F15</f>
        <v>97499534.541900963</v>
      </c>
      <c r="H6" s="32">
        <f>'6.Cons Profit &amp; Loss'!G15</f>
        <v>111131784.99037878</v>
      </c>
      <c r="I6" s="32">
        <f>'6.Cons Profit &amp; Loss'!H15</f>
        <v>125883511.6473496</v>
      </c>
    </row>
    <row r="7" spans="1:10">
      <c r="A7" s="31">
        <v>2</v>
      </c>
      <c r="B7" s="31" t="s">
        <v>227</v>
      </c>
      <c r="C7" s="32">
        <f>'1.Project Cost and MOF'!E21</f>
        <v>3395816.3242842024</v>
      </c>
      <c r="D7" s="32"/>
      <c r="E7" s="32"/>
      <c r="F7" s="32"/>
      <c r="G7" s="32"/>
      <c r="H7" s="32"/>
      <c r="I7" s="32"/>
    </row>
    <row r="8" spans="1:10">
      <c r="A8" s="31"/>
      <c r="B8" s="31" t="s">
        <v>288</v>
      </c>
      <c r="C8" s="32"/>
      <c r="D8" s="32"/>
      <c r="E8" s="32"/>
      <c r="F8" s="32"/>
      <c r="G8" s="32"/>
      <c r="H8" s="32"/>
      <c r="I8" s="32"/>
    </row>
    <row r="9" spans="1:10">
      <c r="A9" s="31">
        <v>3</v>
      </c>
      <c r="B9" s="31" t="s">
        <v>228</v>
      </c>
      <c r="C9" s="32">
        <f>'1.Project Cost and MOF'!E19</f>
        <v>16072559.544</v>
      </c>
      <c r="D9" s="32"/>
      <c r="E9" s="32"/>
      <c r="F9" s="32"/>
      <c r="G9" s="32"/>
      <c r="H9" s="32"/>
      <c r="I9" s="32"/>
    </row>
    <row r="10" spans="1:10">
      <c r="A10" s="31">
        <v>4</v>
      </c>
      <c r="B10" s="31" t="s">
        <v>229</v>
      </c>
      <c r="C10" s="32">
        <f>'1.Project Cost and MOF'!E20</f>
        <v>8036279.7720000008</v>
      </c>
      <c r="D10" s="32"/>
      <c r="E10" s="32"/>
      <c r="F10" s="32"/>
      <c r="G10" s="32"/>
      <c r="H10" s="32"/>
      <c r="I10" s="32"/>
    </row>
    <row r="11" spans="1:10">
      <c r="A11" s="31">
        <v>5</v>
      </c>
      <c r="B11" s="31" t="s">
        <v>670</v>
      </c>
      <c r="C11" s="32">
        <f>'7.Balance Sheet'!B24</f>
        <v>2151169.2008526064</v>
      </c>
      <c r="D11" s="32">
        <f>'7.Balance Sheet'!C24-'7.Balance Sheet'!B24</f>
        <v>1370641.0101534808</v>
      </c>
      <c r="E11" s="32">
        <f>'7.Balance Sheet'!D24-'7.Balance Sheet'!C24</f>
        <v>623099.43777229683</v>
      </c>
      <c r="F11" s="32">
        <f>'7.Balance Sheet'!E24-'7.Balance Sheet'!D24</f>
        <v>676604.85602201009</v>
      </c>
      <c r="G11" s="32">
        <f>'7.Balance Sheet'!F24-'7.Balance Sheet'!E24</f>
        <v>733903.0675022658</v>
      </c>
      <c r="H11" s="32">
        <f>'7.Balance Sheet'!G24-'7.Balance Sheet'!F24</f>
        <v>791714.95288090128</v>
      </c>
      <c r="I11" s="32">
        <f>'7.Balance Sheet'!H24-'7.Balance Sheet'!G24</f>
        <v>856997.904238238</v>
      </c>
    </row>
    <row r="12" spans="1:10">
      <c r="A12" s="31">
        <v>6</v>
      </c>
      <c r="B12" s="31" t="s">
        <v>667</v>
      </c>
      <c r="C12" s="32">
        <f>'7.Balance Sheet'!B25</f>
        <v>595289.66301803547</v>
      </c>
      <c r="D12" s="32">
        <f>'7.Balance Sheet'!C25-'7.Balance Sheet'!B25</f>
        <v>120908.25377658673</v>
      </c>
      <c r="E12" s="32">
        <f>'7.Balance Sheet'!D25-'7.Balance Sheet'!C25</f>
        <v>131510.85499670031</v>
      </c>
      <c r="F12" s="32">
        <f>'7.Balance Sheet'!E25-'7.Balance Sheet'!D25</f>
        <v>142871.44570438366</v>
      </c>
      <c r="G12" s="32">
        <f>'7.Balance Sheet'!F25-'7.Balance Sheet'!E25</f>
        <v>155039.31834534393</v>
      </c>
      <c r="H12" s="32">
        <f>'7.Balance Sheet'!G25-'7.Balance Sheet'!F25</f>
        <v>168066.79963613907</v>
      </c>
      <c r="I12" s="32">
        <f>'7.Balance Sheet'!H25-'7.Balance Sheet'!G25</f>
        <v>182009.43076015031</v>
      </c>
    </row>
    <row r="13" spans="1:10">
      <c r="A13" s="31"/>
      <c r="B13" s="31" t="s">
        <v>230</v>
      </c>
      <c r="C13" s="34">
        <f>C6+C7+C9+C10+C11+C12</f>
        <v>80633109.219835818</v>
      </c>
      <c r="D13" s="34">
        <f t="shared" ref="D13:I13" si="0">SUM(D6:D12)</f>
        <v>63874620.751507983</v>
      </c>
      <c r="E13" s="34">
        <f t="shared" si="0"/>
        <v>73901077.655887902</v>
      </c>
      <c r="F13" s="34">
        <f t="shared" si="0"/>
        <v>85649721.449221432</v>
      </c>
      <c r="G13" s="34">
        <f t="shared" si="0"/>
        <v>98388476.927748561</v>
      </c>
      <c r="H13" s="34">
        <f t="shared" si="0"/>
        <v>112091566.74289583</v>
      </c>
      <c r="I13" s="34">
        <f t="shared" si="0"/>
        <v>126922518.98234798</v>
      </c>
    </row>
    <row r="14" spans="1:10">
      <c r="A14" s="444" t="s">
        <v>231</v>
      </c>
      <c r="B14" s="444"/>
      <c r="C14" s="35"/>
      <c r="D14" s="35"/>
      <c r="E14" s="35"/>
      <c r="F14" s="35"/>
      <c r="G14" s="35"/>
      <c r="H14" s="35"/>
      <c r="I14" s="35"/>
    </row>
    <row r="15" spans="1:10">
      <c r="A15" s="31">
        <v>1</v>
      </c>
      <c r="B15" s="31" t="s">
        <v>232</v>
      </c>
      <c r="C15" s="35"/>
      <c r="D15" s="35"/>
      <c r="E15" s="35"/>
      <c r="F15" s="35"/>
      <c r="G15" s="35"/>
      <c r="H15" s="35"/>
      <c r="I15" s="35"/>
    </row>
    <row r="16" spans="1:10">
      <c r="A16" s="36" t="s">
        <v>233</v>
      </c>
      <c r="B16" s="35" t="str">
        <f>'[5]Total Cost of Project'!C3</f>
        <v>Land and Building</v>
      </c>
      <c r="C16" s="37">
        <f>'1.Project Cost and MOF'!D5</f>
        <v>13915500</v>
      </c>
      <c r="D16" s="37"/>
      <c r="E16" s="37"/>
      <c r="F16" s="37"/>
      <c r="G16" s="37"/>
      <c r="H16" s="37"/>
      <c r="I16" s="37"/>
    </row>
    <row r="17" spans="1:9">
      <c r="A17" s="36" t="s">
        <v>234</v>
      </c>
      <c r="B17" s="38" t="str">
        <f>'[5]Total Cost of Project'!C4</f>
        <v>Machinery and Equipment</v>
      </c>
      <c r="C17" s="37">
        <f>'1.Project Cost and MOF'!D6</f>
        <v>12597099.24</v>
      </c>
      <c r="D17" s="37"/>
      <c r="E17" s="37"/>
      <c r="F17" s="37"/>
      <c r="G17" s="37"/>
      <c r="H17" s="37"/>
      <c r="I17" s="37"/>
    </row>
    <row r="18" spans="1:9">
      <c r="A18" s="36" t="s">
        <v>271</v>
      </c>
      <c r="B18" s="38" t="s">
        <v>323</v>
      </c>
      <c r="C18" s="37">
        <f>'1.Project Cost and MOF'!D7</f>
        <v>0</v>
      </c>
      <c r="D18" s="37"/>
      <c r="E18" s="37"/>
      <c r="F18" s="37"/>
      <c r="G18" s="37"/>
      <c r="H18" s="37"/>
      <c r="I18" s="37"/>
    </row>
    <row r="19" spans="1:9">
      <c r="A19" s="36" t="s">
        <v>273</v>
      </c>
      <c r="B19" s="38" t="s">
        <v>325</v>
      </c>
      <c r="C19" s="37">
        <f>'1.Project Cost and MOF'!D8</f>
        <v>140000</v>
      </c>
      <c r="D19" s="37"/>
      <c r="E19" s="37"/>
      <c r="F19" s="37"/>
      <c r="G19" s="37"/>
      <c r="H19" s="37"/>
      <c r="I19" s="37"/>
    </row>
    <row r="20" spans="1:9">
      <c r="A20" s="36" t="s">
        <v>326</v>
      </c>
      <c r="B20" s="38" t="s">
        <v>272</v>
      </c>
      <c r="C20" s="37">
        <f>'1.Project Cost and MOF'!D9</f>
        <v>0</v>
      </c>
      <c r="D20" s="32"/>
      <c r="E20" s="32"/>
      <c r="F20" s="32"/>
      <c r="G20" s="32"/>
      <c r="H20" s="32"/>
      <c r="I20" s="32"/>
    </row>
    <row r="21" spans="1:9">
      <c r="A21" s="36" t="s">
        <v>327</v>
      </c>
      <c r="B21" s="38" t="s">
        <v>274</v>
      </c>
      <c r="C21" s="37">
        <f>'1.Project Cost and MOF'!D10</f>
        <v>135000</v>
      </c>
      <c r="D21" s="32"/>
      <c r="E21" s="32"/>
      <c r="F21" s="32"/>
      <c r="G21" s="32"/>
      <c r="H21" s="32"/>
      <c r="I21" s="32"/>
    </row>
    <row r="22" spans="1:9">
      <c r="A22" s="31">
        <v>2</v>
      </c>
      <c r="B22" s="31" t="s">
        <v>235</v>
      </c>
      <c r="C22" s="35"/>
      <c r="D22" s="35"/>
      <c r="E22" s="35"/>
      <c r="F22" s="35"/>
      <c r="G22" s="35"/>
      <c r="H22" s="35"/>
      <c r="I22" s="35"/>
    </row>
    <row r="23" spans="1:9">
      <c r="A23" s="36" t="s">
        <v>233</v>
      </c>
      <c r="B23" s="35" t="s">
        <v>305</v>
      </c>
      <c r="C23" s="58">
        <f>'6.Cons Profit &amp; Loss'!B25</f>
        <v>44279525.164500542</v>
      </c>
      <c r="D23" s="58">
        <f>'6.Cons Profit &amp; Loss'!C25</f>
        <v>54090328.428730629</v>
      </c>
      <c r="E23" s="58">
        <f>'6.Cons Profit &amp; Loss'!D25</f>
        <v>63401530.084520414</v>
      </c>
      <c r="F23" s="58">
        <f>'6.Cons Profit &amp; Loss'!E25</f>
        <v>73508626.084817365</v>
      </c>
      <c r="G23" s="58">
        <f>'6.Cons Profit &amp; Loss'!F25</f>
        <v>84467927.859932691</v>
      </c>
      <c r="H23" s="58">
        <f>'6.Cons Profit &amp; Loss'!G25</f>
        <v>96339388.247347549</v>
      </c>
      <c r="I23" s="58">
        <f>'6.Cons Profit &amp; Loss'!H25</f>
        <v>109186824.85385402</v>
      </c>
    </row>
    <row r="24" spans="1:9">
      <c r="A24" s="36" t="s">
        <v>234</v>
      </c>
      <c r="B24" s="35" t="s">
        <v>304</v>
      </c>
      <c r="C24" s="32">
        <f>'6.Cons Profit &amp; Loss'!B36</f>
        <v>2212000</v>
      </c>
      <c r="D24" s="32">
        <f>'6.Cons Profit &amp; Loss'!C36</f>
        <v>2322600</v>
      </c>
      <c r="E24" s="32">
        <f>'6.Cons Profit &amp; Loss'!D36</f>
        <v>2438730</v>
      </c>
      <c r="F24" s="32">
        <f>'6.Cons Profit &amp; Loss'!E36</f>
        <v>2560666.5000000005</v>
      </c>
      <c r="G24" s="32">
        <f>'6.Cons Profit &amp; Loss'!F36</f>
        <v>2688699.8250000002</v>
      </c>
      <c r="H24" s="32">
        <f>'6.Cons Profit &amp; Loss'!G36</f>
        <v>2823134.8162500006</v>
      </c>
      <c r="I24" s="32">
        <f>'6.Cons Profit &amp; Loss'!H36</f>
        <v>2964291.5570625011</v>
      </c>
    </row>
    <row r="25" spans="1:9">
      <c r="A25" s="39">
        <v>3</v>
      </c>
      <c r="B25" s="31" t="s">
        <v>503</v>
      </c>
      <c r="C25" s="32"/>
      <c r="D25" s="32"/>
      <c r="E25" s="32"/>
      <c r="F25" s="32"/>
      <c r="G25" s="32"/>
      <c r="H25" s="32"/>
      <c r="I25" s="32"/>
    </row>
    <row r="26" spans="1:9">
      <c r="A26" s="36"/>
      <c r="B26" s="35" t="s">
        <v>236</v>
      </c>
      <c r="C26" s="32">
        <f>SUM('4.TL repayment sch'!E10:E21)</f>
        <v>694947.80234261078</v>
      </c>
      <c r="D26" s="32">
        <f>SUM('4.TL repayment sch'!E22:E33)</f>
        <v>1520785.674117421</v>
      </c>
      <c r="E26" s="32">
        <f>SUM('4.TL repayment sch'!E34:E45)</f>
        <v>1713659.3630616306</v>
      </c>
      <c r="F26" s="32">
        <f>SUM('4.TL repayment sch'!E46:E57)</f>
        <v>1930994.263417854</v>
      </c>
      <c r="G26" s="32">
        <f>SUM('4.TL repayment sch'!E58:E69)</f>
        <v>2175892.669060484</v>
      </c>
      <c r="H26" s="32">
        <f>SUM('4.TL repayment sch'!E70:E72)</f>
        <v>0</v>
      </c>
      <c r="I26" s="32">
        <f>SUM('4.TL repayment sch'!E73:E75)</f>
        <v>0</v>
      </c>
    </row>
    <row r="27" spans="1:9">
      <c r="A27" s="36"/>
      <c r="B27" s="35" t="s">
        <v>237</v>
      </c>
      <c r="C27" s="32">
        <f>SUM('4.TL repayment sch'!D10:D21)</f>
        <v>947181.55161803635</v>
      </c>
      <c r="D27" s="32">
        <f>SUM('4.TL repayment sch'!D22:D33)</f>
        <v>799119.46116387332</v>
      </c>
      <c r="E27" s="32">
        <f>SUM('4.TL repayment sch'!D34:D45)</f>
        <v>606245.77221966349</v>
      </c>
      <c r="F27" s="32">
        <f>SUM('4.TL repayment sch'!D46:D57)</f>
        <v>388910.87186344009</v>
      </c>
      <c r="G27" s="32">
        <f>SUM('4.TL repayment sch'!D58:D69)</f>
        <v>144012.46622081011</v>
      </c>
      <c r="H27" s="32">
        <f>SUM('4.TL repayment sch'!D70:D72)</f>
        <v>0</v>
      </c>
      <c r="I27" s="32">
        <f>SUM('4.TL repayment sch'!D73:D75)</f>
        <v>0</v>
      </c>
    </row>
    <row r="28" spans="1:9">
      <c r="A28" s="36"/>
      <c r="B28" s="35" t="s">
        <v>238</v>
      </c>
      <c r="C28" s="32"/>
      <c r="D28" s="32"/>
      <c r="E28" s="32"/>
      <c r="F28" s="32"/>
      <c r="G28" s="32"/>
      <c r="H28" s="32"/>
      <c r="I28" s="32"/>
    </row>
    <row r="29" spans="1:9">
      <c r="A29" s="36"/>
      <c r="B29" s="35" t="s">
        <v>239</v>
      </c>
      <c r="C29" s="40">
        <f>'7.Balance Sheet'!B24*12%</f>
        <v>258140.30410231277</v>
      </c>
      <c r="D29" s="40">
        <f>'7.Balance Sheet'!C24*12%</f>
        <v>422617.22532073047</v>
      </c>
      <c r="E29" s="40">
        <f>'7.Balance Sheet'!D24*12%</f>
        <v>497389.1578534061</v>
      </c>
      <c r="F29" s="40">
        <f>'7.Balance Sheet'!E24*12%</f>
        <v>578581.74057604733</v>
      </c>
      <c r="G29" s="40">
        <f>'7.Balance Sheet'!F24*12%</f>
        <v>666650.10867631913</v>
      </c>
      <c r="H29" s="40">
        <f>'7.Balance Sheet'!G24*12%</f>
        <v>761655.90302202734</v>
      </c>
      <c r="I29" s="40">
        <f>'7.Balance Sheet'!H24*12%</f>
        <v>864495.65153061587</v>
      </c>
    </row>
    <row r="30" spans="1:9">
      <c r="A30" s="31">
        <v>4</v>
      </c>
      <c r="B30" s="31" t="s">
        <v>240</v>
      </c>
      <c r="C30" s="32" t="str">
        <f>'6.Cons Profit &amp; Loss'!B50</f>
        <v>0</v>
      </c>
      <c r="D30" s="32">
        <f>'6.Cons Profit &amp; Loss'!C50</f>
        <v>475613.11700829753</v>
      </c>
      <c r="E30" s="32">
        <f>'6.Cons Profit &amp; Loss'!D50</f>
        <v>952392.01678150881</v>
      </c>
      <c r="F30" s="32">
        <f>'6.Cons Profit &amp; Loss'!E50</f>
        <v>1450668.6908020915</v>
      </c>
      <c r="G30" s="32">
        <f>'6.Cons Profit &amp; Loss'!F50</f>
        <v>1975642.7721676365</v>
      </c>
      <c r="H30" s="32">
        <f>'6.Cons Profit &amp; Loss'!G50</f>
        <v>2481217.7327671633</v>
      </c>
      <c r="I30" s="32">
        <f>'6.Cons Profit &amp; Loss'!H50</f>
        <v>2967409.0274024429</v>
      </c>
    </row>
    <row r="31" spans="1:9">
      <c r="A31" s="31">
        <v>5</v>
      </c>
      <c r="B31" s="31" t="s">
        <v>668</v>
      </c>
      <c r="C31" s="32">
        <f>'7.Balance Sheet'!B9</f>
        <v>1932460.0712863943</v>
      </c>
      <c r="D31" s="32">
        <f>'7.Balance Sheet'!C9-'7.Balance Sheet'!B9</f>
        <v>460315.27344262134</v>
      </c>
      <c r="E31" s="32">
        <f>'7.Balance Sheet'!D9-'7.Balance Sheet'!C9</f>
        <v>412842.5815275996</v>
      </c>
      <c r="F31" s="32">
        <f>'7.Balance Sheet'!E9-'7.Balance Sheet'!D9</f>
        <v>448144.90131853614</v>
      </c>
      <c r="G31" s="32">
        <f>'7.Balance Sheet'!F9-'7.Balance Sheet'!E9</f>
        <v>485945.34663474886</v>
      </c>
      <c r="H31" s="32">
        <f>'7.Balance Sheet'!G9-'7.Balance Sheet'!F9</f>
        <v>522880.83911969699</v>
      </c>
      <c r="I31" s="32">
        <f>'7.Balance Sheet'!H9-'7.Balance Sheet'!G9</f>
        <v>565819.65259614121</v>
      </c>
    </row>
    <row r="32" spans="1:9">
      <c r="A32" s="31">
        <v>6</v>
      </c>
      <c r="B32" s="31" t="s">
        <v>669</v>
      </c>
      <c r="C32" s="32">
        <f>'7.Balance Sheet'!B10</f>
        <v>1531055.19286845</v>
      </c>
      <c r="D32" s="32">
        <f>'7.Balance Sheet'!C10-'7.Balance Sheet'!B10</f>
        <v>314177.59020324377</v>
      </c>
      <c r="E32" s="32">
        <f>'7.Balance Sheet'!D10-'7.Balance Sheet'!C10</f>
        <v>341767.71124139731</v>
      </c>
      <c r="F32" s="32">
        <f>'7.Balance Sheet'!E10-'7.Balance Sheet'!D10</f>
        <v>371331.40040785726</v>
      </c>
      <c r="G32" s="32">
        <f>'7.Balance Sheet'!F10-'7.Balance Sheet'!E10</f>
        <v>402997.0392128611</v>
      </c>
      <c r="H32" s="32">
        <f>'7.Balance Sheet'!G10-'7.Balance Sheet'!F10</f>
        <v>436900.91339734429</v>
      </c>
      <c r="I32" s="32">
        <f>'7.Balance Sheet'!H10-'7.Balance Sheet'!G10</f>
        <v>473187.68240224523</v>
      </c>
    </row>
    <row r="33" spans="1:10">
      <c r="A33" s="31"/>
      <c r="B33" s="31" t="s">
        <v>241</v>
      </c>
      <c r="C33" s="41">
        <f>SUM(C16:C32)</f>
        <v>78642909.32671836</v>
      </c>
      <c r="D33" s="41">
        <f t="shared" ref="D33:I33" si="1">SUM(D16:D32)</f>
        <v>60405556.769986816</v>
      </c>
      <c r="E33" s="41">
        <f t="shared" si="1"/>
        <v>70364556.687205628</v>
      </c>
      <c r="F33" s="41">
        <f t="shared" si="1"/>
        <v>81237924.453203186</v>
      </c>
      <c r="G33" s="41">
        <f t="shared" si="1"/>
        <v>93007768.086905554</v>
      </c>
      <c r="H33" s="41">
        <f t="shared" si="1"/>
        <v>103365178.45190378</v>
      </c>
      <c r="I33" s="41">
        <f t="shared" si="1"/>
        <v>117022028.42484796</v>
      </c>
    </row>
    <row r="34" spans="1:10">
      <c r="A34" s="31"/>
      <c r="B34" s="31" t="s">
        <v>242</v>
      </c>
      <c r="C34" s="41">
        <f t="shared" ref="C34:I34" si="2">C13-C33</f>
        <v>1990199.8931174576</v>
      </c>
      <c r="D34" s="41">
        <f t="shared" si="2"/>
        <v>3469063.9815211669</v>
      </c>
      <c r="E34" s="41">
        <f t="shared" si="2"/>
        <v>3536520.9686822742</v>
      </c>
      <c r="F34" s="41">
        <f t="shared" si="2"/>
        <v>4411796.9960182458</v>
      </c>
      <c r="G34" s="41">
        <f t="shared" si="2"/>
        <v>5380708.840843007</v>
      </c>
      <c r="H34" s="41">
        <f t="shared" si="2"/>
        <v>8726388.2909920514</v>
      </c>
      <c r="I34" s="41">
        <f t="shared" si="2"/>
        <v>9900490.5575000197</v>
      </c>
    </row>
    <row r="35" spans="1:10">
      <c r="A35" s="39"/>
      <c r="B35" s="35" t="s">
        <v>243</v>
      </c>
      <c r="C35" s="35"/>
      <c r="D35" s="42">
        <f t="shared" ref="D35:I35" si="3">C36</f>
        <v>1990199.8931174576</v>
      </c>
      <c r="E35" s="42">
        <f t="shared" si="3"/>
        <v>5459263.8746386245</v>
      </c>
      <c r="F35" s="42">
        <f t="shared" si="3"/>
        <v>8995784.8433208987</v>
      </c>
      <c r="G35" s="42">
        <f t="shared" si="3"/>
        <v>13407581.839339145</v>
      </c>
      <c r="H35" s="42">
        <f t="shared" si="3"/>
        <v>18788290.680182151</v>
      </c>
      <c r="I35" s="42">
        <f t="shared" si="3"/>
        <v>27514678.971174203</v>
      </c>
    </row>
    <row r="36" spans="1:10">
      <c r="A36" s="31"/>
      <c r="B36" s="43" t="s">
        <v>244</v>
      </c>
      <c r="C36" s="41">
        <f t="shared" ref="C36:I36" si="4">C34+C35</f>
        <v>1990199.8931174576</v>
      </c>
      <c r="D36" s="41">
        <f t="shared" si="4"/>
        <v>5459263.8746386245</v>
      </c>
      <c r="E36" s="41">
        <f t="shared" si="4"/>
        <v>8995784.8433208987</v>
      </c>
      <c r="F36" s="41">
        <f t="shared" si="4"/>
        <v>13407581.839339145</v>
      </c>
      <c r="G36" s="41">
        <f t="shared" si="4"/>
        <v>18788290.680182151</v>
      </c>
      <c r="H36" s="41">
        <f t="shared" si="4"/>
        <v>27514678.971174203</v>
      </c>
      <c r="I36" s="41">
        <f t="shared" si="4"/>
        <v>37415169.528674223</v>
      </c>
    </row>
    <row r="38" spans="1:10" ht="39.950000000000003" customHeight="1">
      <c r="A38" s="445" t="s">
        <v>398</v>
      </c>
      <c r="B38" s="445"/>
      <c r="C38" s="445"/>
      <c r="D38" s="445"/>
      <c r="E38" s="445"/>
      <c r="F38" s="445"/>
      <c r="G38" s="445"/>
      <c r="H38" s="445"/>
      <c r="I38" s="445"/>
      <c r="J38" s="445"/>
    </row>
    <row r="40" spans="1:10">
      <c r="C40" s="52"/>
    </row>
    <row r="41" spans="1:10">
      <c r="C41" s="52"/>
    </row>
    <row r="42" spans="1:10">
      <c r="C42" s="52"/>
    </row>
    <row r="43" spans="1:10">
      <c r="C43" s="52"/>
    </row>
    <row r="44" spans="1:10">
      <c r="C44" s="52"/>
    </row>
  </sheetData>
  <mergeCells count="4">
    <mergeCell ref="A1:G1"/>
    <mergeCell ref="A14:B14"/>
    <mergeCell ref="A2:I2"/>
    <mergeCell ref="A38:J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view="pageBreakPreview" topLeftCell="A46" zoomScale="80" zoomScaleSheetLayoutView="80" workbookViewId="0">
      <selection activeCell="B75" sqref="B75:J75"/>
    </sheetView>
  </sheetViews>
  <sheetFormatPr defaultRowHeight="15"/>
  <cols>
    <col min="2" max="2" width="32.7109375" bestFit="1" customWidth="1"/>
    <col min="3" max="3" width="18.42578125" customWidth="1"/>
    <col min="4" max="4" width="15.85546875" bestFit="1" customWidth="1"/>
    <col min="5" max="6" width="14.7109375" customWidth="1"/>
    <col min="7" max="7" width="13.7109375" customWidth="1"/>
    <col min="8" max="8" width="14.42578125" customWidth="1"/>
    <col min="9"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46" t="s">
        <v>549</v>
      </c>
      <c r="C5" s="446"/>
      <c r="D5" s="446"/>
      <c r="E5" s="446"/>
      <c r="F5" s="446"/>
      <c r="G5" s="446"/>
      <c r="H5" s="446"/>
      <c r="I5" s="446"/>
      <c r="J5" s="446"/>
    </row>
    <row r="6" spans="2:10" ht="16.5">
      <c r="B6" s="7"/>
      <c r="C6" s="7"/>
      <c r="D6" s="7"/>
      <c r="E6" s="7"/>
      <c r="F6" s="7"/>
      <c r="G6" s="7"/>
      <c r="H6" s="7"/>
      <c r="I6" s="7"/>
      <c r="J6" s="7"/>
    </row>
    <row r="7" spans="2:10" ht="15.75">
      <c r="B7" s="67" t="s">
        <v>29</v>
      </c>
      <c r="C7" s="68" t="s">
        <v>328</v>
      </c>
      <c r="D7" s="68" t="s">
        <v>2</v>
      </c>
      <c r="E7" s="68" t="s">
        <v>3</v>
      </c>
      <c r="F7" s="68" t="s">
        <v>4</v>
      </c>
      <c r="G7" s="68" t="s">
        <v>5</v>
      </c>
      <c r="H7" s="68" t="s">
        <v>6</v>
      </c>
      <c r="I7" s="68" t="s">
        <v>168</v>
      </c>
      <c r="J7" s="68" t="s">
        <v>167</v>
      </c>
    </row>
    <row r="8" spans="2:10">
      <c r="B8" s="59"/>
      <c r="C8" s="59"/>
      <c r="D8" s="59"/>
      <c r="E8" s="59"/>
      <c r="F8" s="59"/>
      <c r="G8" s="59"/>
      <c r="H8" s="59"/>
      <c r="I8" s="59"/>
      <c r="J8" s="59"/>
    </row>
    <row r="9" spans="2:10">
      <c r="B9" s="59" t="s">
        <v>30</v>
      </c>
      <c r="C9" s="59"/>
      <c r="D9" s="69">
        <f>'6.Cons Profit &amp; Loss'!B51</f>
        <v>1405629.9635680956</v>
      </c>
      <c r="E9" s="69">
        <f>'6.Cons Profit &amp; Loss'!C51</f>
        <v>2993275.5234623845</v>
      </c>
      <c r="F9" s="69">
        <f>'6.Cons Profit &amp; Loss'!D51</f>
        <v>3970662.5998519091</v>
      </c>
      <c r="G9" s="69">
        <f>'6.Cons Profit &amp; Loss'!E51</f>
        <v>5063273.5275440877</v>
      </c>
      <c r="H9" s="69">
        <f>'6.Cons Profit &amp; Loss'!F51</f>
        <v>6277083.7780115027</v>
      </c>
      <c r="I9" s="69">
        <f>'6.Cons Profit &amp; Loss'!G51</f>
        <v>7473870.5591000468</v>
      </c>
      <c r="J9" s="69">
        <f>'6.Cons Profit &amp; Loss'!H51</f>
        <v>8647972.8256080151</v>
      </c>
    </row>
    <row r="10" spans="2:10">
      <c r="B10" s="59"/>
      <c r="C10" s="59"/>
      <c r="D10" s="69"/>
      <c r="E10" s="69"/>
      <c r="F10" s="69"/>
      <c r="G10" s="69"/>
      <c r="H10" s="69"/>
      <c r="I10" s="69"/>
      <c r="J10" s="69"/>
    </row>
    <row r="11" spans="2:10">
      <c r="B11" s="61" t="s">
        <v>31</v>
      </c>
      <c r="C11" s="61"/>
      <c r="D11" s="69">
        <f>'6.Cons Profit &amp; Loss'!B42</f>
        <v>1252517.731892</v>
      </c>
      <c r="E11" s="69">
        <f>'6.Cons Profit &amp; Loss'!C42</f>
        <v>1252517.731892</v>
      </c>
      <c r="F11" s="69">
        <f>'6.Cons Profit &amp; Loss'!D42</f>
        <v>1252517.731892</v>
      </c>
      <c r="G11" s="69">
        <f>'6.Cons Profit &amp; Loss'!E42</f>
        <v>1252517.731892</v>
      </c>
      <c r="H11" s="69">
        <f>'6.Cons Profit &amp; Loss'!F42</f>
        <v>1252517.731892</v>
      </c>
      <c r="I11" s="69">
        <f>'6.Cons Profit &amp; Loss'!G42</f>
        <v>1252517.731892</v>
      </c>
      <c r="J11" s="69">
        <f>'6.Cons Profit &amp; Loss'!H42</f>
        <v>1252517.731892</v>
      </c>
    </row>
    <row r="12" spans="2:10">
      <c r="B12" s="59" t="s">
        <v>36</v>
      </c>
      <c r="C12" s="59"/>
      <c r="D12" s="69">
        <f>'6.Cons Profit &amp; Loss'!B43</f>
        <v>27000</v>
      </c>
      <c r="E12" s="69">
        <f>'6.Cons Profit &amp; Loss'!C43</f>
        <v>27000</v>
      </c>
      <c r="F12" s="69">
        <f>'6.Cons Profit &amp; Loss'!D43</f>
        <v>27000</v>
      </c>
      <c r="G12" s="69">
        <f>'6.Cons Profit &amp; Loss'!E43</f>
        <v>27000</v>
      </c>
      <c r="H12" s="69">
        <f>'6.Cons Profit &amp; Loss'!F43</f>
        <v>27000</v>
      </c>
      <c r="I12" s="69">
        <f>'6.Cons Profit &amp; Loss'!G43</f>
        <v>0</v>
      </c>
      <c r="J12" s="69">
        <f>'6.Cons Profit &amp; Loss'!H43</f>
        <v>0</v>
      </c>
    </row>
    <row r="13" spans="2:10">
      <c r="B13" s="59"/>
      <c r="C13" s="59"/>
      <c r="D13" s="59"/>
      <c r="E13" s="59"/>
      <c r="F13" s="59"/>
      <c r="G13" s="59"/>
      <c r="H13" s="59"/>
      <c r="I13" s="59"/>
      <c r="J13" s="59"/>
    </row>
    <row r="14" spans="2:10">
      <c r="B14" s="59" t="s">
        <v>32</v>
      </c>
      <c r="C14" s="59"/>
      <c r="D14" s="69">
        <f>SUM(D9:D12)</f>
        <v>2685147.6954600955</v>
      </c>
      <c r="E14" s="69">
        <f t="shared" ref="E14:J14" si="0">SUM(E9:E12)</f>
        <v>4272793.255354384</v>
      </c>
      <c r="F14" s="69">
        <f t="shared" si="0"/>
        <v>5250180.331743909</v>
      </c>
      <c r="G14" s="69">
        <f t="shared" si="0"/>
        <v>6342791.2594360877</v>
      </c>
      <c r="H14" s="69">
        <f t="shared" si="0"/>
        <v>7556601.5099035027</v>
      </c>
      <c r="I14" s="69">
        <f t="shared" si="0"/>
        <v>8726388.2909920476</v>
      </c>
      <c r="J14" s="69">
        <f t="shared" si="0"/>
        <v>9900490.5575000159</v>
      </c>
    </row>
    <row r="15" spans="2:10">
      <c r="B15" s="59" t="s">
        <v>337</v>
      </c>
      <c r="C15" s="70">
        <f>-'1.Project Cost and MOF'!E22</f>
        <v>-27504655.640284203</v>
      </c>
      <c r="D15" s="69">
        <f>D14</f>
        <v>2685147.6954600955</v>
      </c>
      <c r="E15" s="69">
        <f t="shared" ref="E15:J15" si="1">E14</f>
        <v>4272793.255354384</v>
      </c>
      <c r="F15" s="69">
        <f t="shared" si="1"/>
        <v>5250180.331743909</v>
      </c>
      <c r="G15" s="69">
        <f t="shared" si="1"/>
        <v>6342791.2594360877</v>
      </c>
      <c r="H15" s="69">
        <f t="shared" si="1"/>
        <v>7556601.5099035027</v>
      </c>
      <c r="I15" s="69">
        <f t="shared" si="1"/>
        <v>8726388.2909920476</v>
      </c>
      <c r="J15" s="69">
        <f t="shared" si="1"/>
        <v>9900490.5575000159</v>
      </c>
    </row>
    <row r="16" spans="2:10">
      <c r="B16" s="59" t="s">
        <v>276</v>
      </c>
      <c r="C16" s="224">
        <f>IRR(C15:J15)</f>
        <v>0.11293176152915185</v>
      </c>
      <c r="D16" s="69"/>
      <c r="E16" s="69"/>
      <c r="F16" s="69"/>
      <c r="G16" s="69"/>
      <c r="H16" s="69"/>
      <c r="I16" s="69"/>
      <c r="J16" s="69"/>
    </row>
    <row r="17" spans="2:19">
      <c r="B17" s="59"/>
      <c r="C17" s="59"/>
      <c r="D17" s="59"/>
      <c r="E17" s="59"/>
      <c r="F17" s="59"/>
      <c r="G17" s="59"/>
      <c r="H17" s="59"/>
      <c r="I17" s="59"/>
      <c r="J17" s="59"/>
    </row>
    <row r="18" spans="2:19" ht="16.5">
      <c r="B18" s="225" t="s">
        <v>395</v>
      </c>
      <c r="C18" s="225"/>
      <c r="D18" s="226">
        <f>1/(1+$C$16)</f>
        <v>0.89852768567411068</v>
      </c>
      <c r="E18" s="227">
        <f t="shared" ref="E18:J18" si="2">D18/(1+$C$16)</f>
        <v>0.80735200192287337</v>
      </c>
      <c r="F18" s="227">
        <f t="shared" si="2"/>
        <v>0.72542812581211957</v>
      </c>
      <c r="G18" s="227">
        <f t="shared" si="2"/>
        <v>0.65181725500887133</v>
      </c>
      <c r="H18" s="227">
        <f t="shared" si="2"/>
        <v>0.58567584962557273</v>
      </c>
      <c r="I18" s="227">
        <f t="shared" si="2"/>
        <v>0.52624596571928428</v>
      </c>
      <c r="J18" s="227">
        <f t="shared" si="2"/>
        <v>0.47284656967308586</v>
      </c>
      <c r="L18" s="14"/>
      <c r="M18" s="14"/>
      <c r="N18" s="14"/>
      <c r="O18" s="14"/>
      <c r="P18" s="14"/>
      <c r="Q18" s="14"/>
      <c r="R18" s="14"/>
      <c r="S18" s="14"/>
    </row>
    <row r="19" spans="2:19">
      <c r="B19" s="59" t="s">
        <v>33</v>
      </c>
      <c r="C19" s="59"/>
      <c r="D19" s="69">
        <f t="shared" ref="D19:J19" si="3">D14*D18</f>
        <v>2412679.5444949316</v>
      </c>
      <c r="E19" s="69">
        <f t="shared" si="3"/>
        <v>3449648.188512913</v>
      </c>
      <c r="F19" s="69">
        <f t="shared" si="3"/>
        <v>3808628.4782326361</v>
      </c>
      <c r="G19" s="69">
        <f t="shared" si="3"/>
        <v>4134340.7878198926</v>
      </c>
      <c r="H19" s="69">
        <f t="shared" si="3"/>
        <v>4425719.0095946193</v>
      </c>
      <c r="I19" s="69">
        <f t="shared" si="3"/>
        <v>4592226.6334345648</v>
      </c>
      <c r="J19" s="69">
        <f t="shared" si="3"/>
        <v>4681412.9981946601</v>
      </c>
      <c r="L19" s="6"/>
    </row>
    <row r="20" spans="2:19">
      <c r="B20" s="59" t="s">
        <v>34</v>
      </c>
      <c r="C20" s="59"/>
      <c r="D20" s="453">
        <f>SUM(D19:J19)</f>
        <v>27504655.640284218</v>
      </c>
      <c r="E20" s="453"/>
      <c r="F20" s="453"/>
      <c r="G20" s="453"/>
      <c r="H20" s="453"/>
      <c r="I20" s="453"/>
      <c r="J20" s="453"/>
      <c r="L20" s="6"/>
    </row>
    <row r="21" spans="2:19">
      <c r="B21" s="59"/>
      <c r="C21" s="59"/>
      <c r="D21" s="69"/>
      <c r="E21" s="69"/>
      <c r="F21" s="69"/>
      <c r="G21" s="69"/>
      <c r="H21" s="69"/>
      <c r="I21" s="69"/>
      <c r="J21" s="69"/>
    </row>
    <row r="22" spans="2:19">
      <c r="B22" s="8" t="s">
        <v>35</v>
      </c>
      <c r="C22" s="8"/>
      <c r="D22" s="454">
        <f>'1.Project Cost and MOF'!D12</f>
        <v>27504655.640284203</v>
      </c>
      <c r="E22" s="454"/>
      <c r="F22" s="454"/>
      <c r="G22" s="454"/>
      <c r="H22" s="454"/>
      <c r="I22" s="454"/>
      <c r="J22" s="454"/>
    </row>
    <row r="23" spans="2:19">
      <c r="F23" s="14">
        <f>D20-D22</f>
        <v>0</v>
      </c>
    </row>
    <row r="24" spans="2:19" ht="29.45" customHeight="1">
      <c r="B24" s="447" t="s">
        <v>412</v>
      </c>
      <c r="C24" s="447"/>
      <c r="D24" s="447"/>
      <c r="E24" s="447"/>
      <c r="F24" s="447"/>
      <c r="G24" s="447"/>
      <c r="H24" s="447"/>
      <c r="I24" s="447"/>
      <c r="J24" s="447"/>
    </row>
    <row r="25" spans="2:19">
      <c r="K25" s="14"/>
      <c r="L25" s="14"/>
      <c r="M25" s="14"/>
    </row>
    <row r="26" spans="2:19" ht="18.75">
      <c r="B26" s="404" t="s">
        <v>550</v>
      </c>
      <c r="C26" s="404"/>
      <c r="D26" s="404"/>
      <c r="E26" s="404"/>
      <c r="F26" s="404"/>
      <c r="G26" s="404"/>
      <c r="H26" s="404"/>
      <c r="I26" s="404"/>
    </row>
    <row r="27" spans="2:19">
      <c r="K27" s="14"/>
    </row>
    <row r="28" spans="2:19">
      <c r="B28" s="89" t="s">
        <v>0</v>
      </c>
      <c r="C28" s="80" t="s">
        <v>2</v>
      </c>
      <c r="D28" s="80" t="s">
        <v>3</v>
      </c>
      <c r="E28" s="80" t="s">
        <v>4</v>
      </c>
      <c r="F28" s="80" t="s">
        <v>5</v>
      </c>
      <c r="G28" s="80" t="s">
        <v>6</v>
      </c>
      <c r="H28" s="80" t="s">
        <v>168</v>
      </c>
      <c r="I28" s="80" t="s">
        <v>167</v>
      </c>
    </row>
    <row r="29" spans="2:19">
      <c r="B29" s="73"/>
      <c r="C29" s="73"/>
      <c r="D29" s="73"/>
      <c r="E29" s="73"/>
      <c r="F29" s="73"/>
      <c r="G29" s="73"/>
      <c r="H29" s="73"/>
      <c r="I29" s="73"/>
    </row>
    <row r="30" spans="2:19">
      <c r="B30" s="73" t="s">
        <v>37</v>
      </c>
      <c r="C30" s="73"/>
      <c r="D30" s="73"/>
      <c r="E30" s="73"/>
      <c r="F30" s="73"/>
      <c r="G30" s="73"/>
      <c r="H30" s="73"/>
      <c r="I30" s="73"/>
    </row>
    <row r="31" spans="2:19">
      <c r="B31" s="73"/>
      <c r="C31" s="74"/>
      <c r="D31" s="74"/>
      <c r="E31" s="74"/>
      <c r="F31" s="74"/>
      <c r="G31" s="74"/>
      <c r="H31" s="74"/>
      <c r="I31" s="74"/>
    </row>
    <row r="32" spans="2:19">
      <c r="B32" s="86" t="str">
        <f>'6.Cons Profit &amp; Loss'!A8</f>
        <v>Activity 1 - Flour Mill</v>
      </c>
      <c r="C32" s="74">
        <f>'6.Cons Profit &amp; Loss'!B8</f>
        <v>23906058.093605995</v>
      </c>
      <c r="D32" s="74">
        <f>'6.Cons Profit &amp; Loss'!C8</f>
        <v>30606045.427735046</v>
      </c>
      <c r="E32" s="74">
        <f>'6.Cons Profit &amp; Loss'!D8</f>
        <v>36760282.619858757</v>
      </c>
      <c r="F32" s="74">
        <f>'6.Cons Profit &amp; Loss'!E8</f>
        <v>43453428.417625487</v>
      </c>
      <c r="G32" s="74">
        <f>'6.Cons Profit &amp; Loss'!F8</f>
        <v>50723988.088619255</v>
      </c>
      <c r="H32" s="74">
        <f>'6.Cons Profit &amp; Loss'!G8</f>
        <v>58612970.155668333</v>
      </c>
      <c r="I32" s="74">
        <f>'6.Cons Profit &amp; Loss'!H8</f>
        <v>67164040.45920077</v>
      </c>
    </row>
    <row r="33" spans="2:9">
      <c r="B33" s="86" t="str">
        <f>'6.Cons Profit &amp; Loss'!A9</f>
        <v>Activity 2 - Cleaning &amp; Grading Unit</v>
      </c>
      <c r="C33" s="74">
        <f>'6.Cons Profit &amp; Loss'!B9</f>
        <v>25323936.622074995</v>
      </c>
      <c r="D33" s="74">
        <f>'6.Cons Profit &amp; Loss'!C9</f>
        <v>30491826.05984287</v>
      </c>
      <c r="E33" s="74">
        <f>'6.Cons Profit &amp; Loss'!D9</f>
        <v>34957344.743260145</v>
      </c>
      <c r="F33" s="74">
        <f>'6.Cons Profit &amp; Loss'!E9</f>
        <v>39793185.729869537</v>
      </c>
      <c r="G33" s="74">
        <f>'6.Cons Profit &amp; Loss'!F9</f>
        <v>45025217.453281716</v>
      </c>
      <c r="H33" s="74">
        <f>'6.Cons Profit &amp; Loss'!G9</f>
        <v>50680969.384710439</v>
      </c>
      <c r="I33" s="74">
        <f>'6.Cons Profit &amp; Loss'!H9</f>
        <v>56789733.465648837</v>
      </c>
    </row>
    <row r="34" spans="2:9">
      <c r="B34" s="86" t="str">
        <f>'6.Cons Profit &amp; Loss'!A10</f>
        <v>Faclitiy 3 - Warehouse</v>
      </c>
      <c r="C34" s="74">
        <f>'6.Cons Profit &amp; Loss'!B10</f>
        <v>1152000</v>
      </c>
      <c r="D34" s="74">
        <f>'6.Cons Profit &amp; Loss'!C10</f>
        <v>1285200.0000000002</v>
      </c>
      <c r="E34" s="74">
        <f>'6.Cons Profit &amp; Loss'!D10</f>
        <v>1428840.0000000002</v>
      </c>
      <c r="F34" s="74">
        <f>'6.Cons Profit &amp; Loss'!E10</f>
        <v>1583631.0000000007</v>
      </c>
      <c r="G34" s="74">
        <f>'6.Cons Profit &amp; Loss'!F10</f>
        <v>1750329.0000000009</v>
      </c>
      <c r="H34" s="74">
        <f>'6.Cons Profit &amp; Loss'!G10</f>
        <v>1837845.4500000011</v>
      </c>
      <c r="I34" s="74">
        <f>'6.Cons Profit &amp; Loss'!H10</f>
        <v>1929737.7225000013</v>
      </c>
    </row>
    <row r="35" spans="2:9">
      <c r="B35" s="86" t="str">
        <f>'6.Cons Profit &amp; Loss'!A11</f>
        <v xml:space="preserve">Faclitiy 4 - Custom Hiring </v>
      </c>
      <c r="C35" s="74">
        <f>'6.Cons Profit &amp; Loss'!B11</f>
        <v>0</v>
      </c>
      <c r="D35" s="74">
        <f>'6.Cons Profit &amp; Loss'!C11</f>
        <v>0</v>
      </c>
      <c r="E35" s="74">
        <f>'6.Cons Profit &amp; Loss'!D11</f>
        <v>0</v>
      </c>
      <c r="F35" s="74">
        <f>'6.Cons Profit &amp; Loss'!E11</f>
        <v>0</v>
      </c>
      <c r="G35" s="74">
        <f>'6.Cons Profit &amp; Loss'!F11</f>
        <v>0</v>
      </c>
      <c r="H35" s="74">
        <f>'6.Cons Profit &amp; Loss'!G11</f>
        <v>0</v>
      </c>
      <c r="I35" s="74">
        <f>'6.Cons Profit &amp; Loss'!H11</f>
        <v>0</v>
      </c>
    </row>
    <row r="36" spans="2:9">
      <c r="B36" s="86" t="str">
        <f>'6.Cons Profit &amp; Loss'!A12</f>
        <v>Faclitiy 5 - Agri Input Centre</v>
      </c>
      <c r="C36" s="74">
        <f>'6.Cons Profit &amp; Loss'!B12</f>
        <v>0</v>
      </c>
      <c r="D36" s="74">
        <f>'6.Cons Profit &amp; Loss'!C12</f>
        <v>0</v>
      </c>
      <c r="E36" s="74">
        <f>'6.Cons Profit &amp; Loss'!D12</f>
        <v>0</v>
      </c>
      <c r="F36" s="74">
        <f>'6.Cons Profit &amp; Loss'!E12</f>
        <v>0</v>
      </c>
      <c r="G36" s="74">
        <f>'6.Cons Profit &amp; Loss'!F12</f>
        <v>0</v>
      </c>
      <c r="H36" s="74">
        <f>'6.Cons Profit &amp; Loss'!G12</f>
        <v>0</v>
      </c>
      <c r="I36" s="74">
        <f>'6.Cons Profit &amp; Loss'!H12</f>
        <v>0</v>
      </c>
    </row>
    <row r="37" spans="2:9">
      <c r="B37" s="86" t="str">
        <f>'6.Cons Profit &amp; Loss'!A13</f>
        <v>Facility 4 - Roasted Channa</v>
      </c>
      <c r="C37" s="74">
        <f>'6.Cons Profit &amp; Loss'!B13</f>
        <v>0</v>
      </c>
      <c r="D37" s="74">
        <f>'6.Cons Profit &amp; Loss'!C13</f>
        <v>0</v>
      </c>
      <c r="E37" s="74">
        <f>'6.Cons Profit &amp; Loss'!D13</f>
        <v>0</v>
      </c>
      <c r="F37" s="74">
        <f>'6.Cons Profit &amp; Loss'!E13</f>
        <v>0</v>
      </c>
      <c r="G37" s="74">
        <f>'6.Cons Profit &amp; Loss'!F13</f>
        <v>0</v>
      </c>
      <c r="H37" s="74">
        <f>'6.Cons Profit &amp; Loss'!G13</f>
        <v>0</v>
      </c>
      <c r="I37" s="74">
        <f>'6.Cons Profit &amp; Loss'!H13</f>
        <v>0</v>
      </c>
    </row>
    <row r="38" spans="2:9">
      <c r="B38" s="86"/>
      <c r="C38" s="86"/>
      <c r="D38" s="86"/>
      <c r="E38" s="86"/>
      <c r="F38" s="86"/>
      <c r="G38" s="86"/>
      <c r="H38" s="86"/>
      <c r="I38" s="86"/>
    </row>
    <row r="39" spans="2:9">
      <c r="B39" s="73" t="s">
        <v>8</v>
      </c>
      <c r="C39" s="74">
        <f>SUM(C32:C38)</f>
        <v>50381994.715680987</v>
      </c>
      <c r="D39" s="74">
        <f t="shared" ref="D39:I39" si="4">SUM(D32:D38)</f>
        <v>62383071.487577915</v>
      </c>
      <c r="E39" s="74">
        <f t="shared" si="4"/>
        <v>73146467.363118902</v>
      </c>
      <c r="F39" s="74">
        <f t="shared" si="4"/>
        <v>84830245.147495031</v>
      </c>
      <c r="G39" s="74">
        <f t="shared" si="4"/>
        <v>97499534.541900963</v>
      </c>
      <c r="H39" s="74">
        <f t="shared" si="4"/>
        <v>111131784.99037878</v>
      </c>
      <c r="I39" s="74">
        <f t="shared" si="4"/>
        <v>125883511.6473496</v>
      </c>
    </row>
    <row r="40" spans="2:9">
      <c r="B40" s="73"/>
      <c r="C40" s="74"/>
      <c r="D40" s="74"/>
      <c r="E40" s="74"/>
      <c r="F40" s="74"/>
      <c r="G40" s="74"/>
      <c r="H40" s="74"/>
      <c r="I40" s="74"/>
    </row>
    <row r="41" spans="2:9">
      <c r="B41" s="73" t="s">
        <v>38</v>
      </c>
      <c r="C41" s="74">
        <f>'6.Cons Profit &amp; Loss'!B25</f>
        <v>44279525.164500542</v>
      </c>
      <c r="D41" s="74">
        <f>'6.Cons Profit &amp; Loss'!C25</f>
        <v>54090328.428730629</v>
      </c>
      <c r="E41" s="74">
        <f>'6.Cons Profit &amp; Loss'!D25</f>
        <v>63401530.084520414</v>
      </c>
      <c r="F41" s="74">
        <f>'6.Cons Profit &amp; Loss'!E25</f>
        <v>73508626.084817365</v>
      </c>
      <c r="G41" s="74">
        <f>'6.Cons Profit &amp; Loss'!F25</f>
        <v>84467927.859932691</v>
      </c>
      <c r="H41" s="74">
        <f>'6.Cons Profit &amp; Loss'!G25</f>
        <v>96339388.247347549</v>
      </c>
      <c r="I41" s="74">
        <f>'6.Cons Profit &amp; Loss'!H25</f>
        <v>109186824.85385402</v>
      </c>
    </row>
    <row r="42" spans="2:9">
      <c r="B42" s="73"/>
      <c r="C42" s="74"/>
      <c r="D42" s="74"/>
      <c r="E42" s="74"/>
      <c r="F42" s="74"/>
      <c r="G42" s="74"/>
      <c r="H42" s="74"/>
      <c r="I42" s="74"/>
    </row>
    <row r="43" spans="2:9">
      <c r="B43" s="75" t="s">
        <v>39</v>
      </c>
      <c r="C43" s="91">
        <f>C39-C41</f>
        <v>6102469.5511804447</v>
      </c>
      <c r="D43" s="91">
        <f t="shared" ref="D43:I43" si="5">D39-D41</f>
        <v>8292743.0588472858</v>
      </c>
      <c r="E43" s="91">
        <f t="shared" si="5"/>
        <v>9744937.2785984874</v>
      </c>
      <c r="F43" s="91">
        <f t="shared" si="5"/>
        <v>11321619.062677667</v>
      </c>
      <c r="G43" s="91">
        <f t="shared" si="5"/>
        <v>13031606.681968272</v>
      </c>
      <c r="H43" s="91">
        <f t="shared" si="5"/>
        <v>14792396.743031234</v>
      </c>
      <c r="I43" s="91">
        <f t="shared" si="5"/>
        <v>16696686.793495581</v>
      </c>
    </row>
    <row r="44" spans="2:9">
      <c r="B44" s="73"/>
      <c r="C44" s="74"/>
      <c r="D44" s="74"/>
      <c r="E44" s="74"/>
      <c r="F44" s="74"/>
      <c r="G44" s="74"/>
      <c r="H44" s="74"/>
      <c r="I44" s="74"/>
    </row>
    <row r="45" spans="2:9">
      <c r="B45" s="75" t="s">
        <v>41</v>
      </c>
      <c r="C45" s="91">
        <f>'6.Cons Profit &amp; Loss'!B36+'3.Other Exp &amp; Taxes'!K67+'3.Other Exp &amp; Taxes'!C87</f>
        <v>5576114.8859999999</v>
      </c>
      <c r="D45" s="91">
        <f>'6.Cons Profit &amp; Loss'!C36+'3.Other Exp &amp; Taxes'!L67+'3.Other Exp &amp; Taxes'!D87</f>
        <v>5241725.1530999998</v>
      </c>
      <c r="E45" s="91">
        <f>'6.Cons Profit &amp; Loss'!D36+'3.Other Exp &amp; Taxes'!M67+'3.Other Exp &amp; Taxes'!E87</f>
        <v>4978256.1301349998</v>
      </c>
      <c r="F45" s="91">
        <f>'6.Cons Profit &amp; Loss'!E36+'3.Other Exp &amp; Taxes'!N67+'3.Other Exp &amp; Taxes'!F87</f>
        <v>4774631.4856147505</v>
      </c>
      <c r="G45" s="91">
        <f>'6.Cons Profit &amp; Loss'!F36+'3.Other Exp &amp; Taxes'!O67+'3.Other Exp &amp; Taxes'!G87</f>
        <v>4622318.0602725381</v>
      </c>
      <c r="H45" s="91">
        <f>'6.Cons Profit &amp; Loss'!G36+'3.Other Exp &amp; Taxes'!P67+'3.Other Exp &amp; Taxes'!H87</f>
        <v>4487595.7139816582</v>
      </c>
      <c r="I45" s="91">
        <f>'6.Cons Profit &amp; Loss'!H36+'3.Other Exp &amp; Taxes'!Q67+'3.Other Exp &amp; Taxes'!I87</f>
        <v>4419079.4981094096</v>
      </c>
    </row>
    <row r="46" spans="2:9">
      <c r="B46" s="73"/>
      <c r="C46" s="73"/>
      <c r="D46" s="73"/>
      <c r="E46" s="73"/>
      <c r="F46" s="73"/>
      <c r="G46" s="73"/>
      <c r="H46" s="73"/>
      <c r="I46" s="73"/>
    </row>
    <row r="47" spans="2:9">
      <c r="B47" s="73" t="s">
        <v>40</v>
      </c>
      <c r="C47" s="90">
        <f>C45/C43</f>
        <v>0.91374726891039904</v>
      </c>
      <c r="D47" s="90">
        <f>D45/D43</f>
        <v>0.63208580271973525</v>
      </c>
      <c r="E47" s="90">
        <f>E45/E43</f>
        <v>0.51085563588675764</v>
      </c>
      <c r="F47" s="90">
        <f>F45/F43</f>
        <v>0.42172691548637092</v>
      </c>
      <c r="G47" s="90">
        <f>G45/G43</f>
        <v>0.35470055021445684</v>
      </c>
      <c r="H47" s="90">
        <f t="shared" ref="H47:I47" si="6">H45/H43</f>
        <v>0.30337177889011024</v>
      </c>
      <c r="I47" s="90">
        <f t="shared" si="6"/>
        <v>0.26466804778484088</v>
      </c>
    </row>
    <row r="48" spans="2:9">
      <c r="B48" s="72"/>
      <c r="C48" s="72"/>
      <c r="D48" s="72"/>
      <c r="E48" s="72"/>
      <c r="F48" s="72"/>
      <c r="G48" s="72"/>
      <c r="H48" s="72"/>
      <c r="I48" s="72"/>
    </row>
    <row r="49" spans="2:10">
      <c r="B49" s="92" t="s">
        <v>134</v>
      </c>
      <c r="C49" s="93">
        <f>AVERAGE(C47:I47)</f>
        <v>0.48587942855609578</v>
      </c>
      <c r="D49" s="72"/>
      <c r="E49" s="72"/>
      <c r="F49" s="72"/>
      <c r="G49" s="72"/>
      <c r="H49" s="72"/>
      <c r="I49" s="72"/>
    </row>
    <row r="51" spans="2:10" ht="41.45" customHeight="1">
      <c r="B51" s="448" t="s">
        <v>413</v>
      </c>
      <c r="C51" s="448"/>
      <c r="D51" s="448"/>
      <c r="E51" s="448"/>
      <c r="F51" s="448"/>
      <c r="G51" s="448"/>
      <c r="H51" s="448"/>
      <c r="I51" s="448"/>
      <c r="J51" s="448"/>
    </row>
    <row r="54" spans="2:10" ht="18.75">
      <c r="B54" s="404" t="s">
        <v>551</v>
      </c>
      <c r="C54" s="404"/>
      <c r="D54" s="404"/>
      <c r="E54" s="404"/>
      <c r="F54" s="404"/>
      <c r="G54" s="404"/>
      <c r="H54" s="404"/>
      <c r="I54" s="404"/>
    </row>
    <row r="56" spans="2:10">
      <c r="B56" s="64" t="s">
        <v>29</v>
      </c>
      <c r="C56" s="65" t="s">
        <v>2</v>
      </c>
      <c r="D56" s="65" t="s">
        <v>3</v>
      </c>
      <c r="E56" s="65" t="s">
        <v>4</v>
      </c>
      <c r="F56" s="65" t="s">
        <v>5</v>
      </c>
      <c r="G56" s="65" t="s">
        <v>6</v>
      </c>
      <c r="H56" s="65" t="s">
        <v>168</v>
      </c>
      <c r="I56" s="65" t="s">
        <v>167</v>
      </c>
    </row>
    <row r="57" spans="2:10">
      <c r="B57" s="73"/>
      <c r="C57" s="73"/>
      <c r="D57" s="73"/>
      <c r="E57" s="73"/>
      <c r="F57" s="73"/>
      <c r="G57" s="73"/>
      <c r="H57" s="73"/>
      <c r="I57" s="73"/>
    </row>
    <row r="58" spans="2:10">
      <c r="B58" s="73" t="s">
        <v>368</v>
      </c>
      <c r="C58" s="275">
        <f>'6.Cons Profit &amp; Loss'!B51</f>
        <v>1405629.9635680956</v>
      </c>
      <c r="D58" s="275">
        <f>'6.Cons Profit &amp; Loss'!C51</f>
        <v>2993275.5234623845</v>
      </c>
      <c r="E58" s="275">
        <f>'6.Cons Profit &amp; Loss'!D51</f>
        <v>3970662.5998519091</v>
      </c>
      <c r="F58" s="275">
        <f>'6.Cons Profit &amp; Loss'!E51</f>
        <v>5063273.5275440877</v>
      </c>
      <c r="G58" s="275">
        <f>'6.Cons Profit &amp; Loss'!F51</f>
        <v>6277083.7780115027</v>
      </c>
      <c r="H58" s="275">
        <f>'6.Cons Profit &amp; Loss'!G51</f>
        <v>7473870.5591000468</v>
      </c>
      <c r="I58" s="275">
        <f>'6.Cons Profit &amp; Loss'!H51</f>
        <v>8647972.8256080151</v>
      </c>
    </row>
    <row r="59" spans="2:10">
      <c r="B59" s="73"/>
      <c r="C59" s="275"/>
      <c r="D59" s="275"/>
      <c r="E59" s="275"/>
      <c r="F59" s="275"/>
      <c r="G59" s="275"/>
      <c r="H59" s="275"/>
      <c r="I59" s="275"/>
    </row>
    <row r="60" spans="2:10">
      <c r="B60" s="73" t="s">
        <v>42</v>
      </c>
      <c r="C60" s="275">
        <f>'6.Cons Profit &amp; Loss'!B42</f>
        <v>1252517.731892</v>
      </c>
      <c r="D60" s="275">
        <f>'6.Cons Profit &amp; Loss'!C42</f>
        <v>1252517.731892</v>
      </c>
      <c r="E60" s="275">
        <f>'6.Cons Profit &amp; Loss'!D42</f>
        <v>1252517.731892</v>
      </c>
      <c r="F60" s="275">
        <f>'6.Cons Profit &amp; Loss'!E42</f>
        <v>1252517.731892</v>
      </c>
      <c r="G60" s="275">
        <f>'6.Cons Profit &amp; Loss'!F42</f>
        <v>1252517.731892</v>
      </c>
      <c r="H60" s="275">
        <f>'6.Cons Profit &amp; Loss'!G42</f>
        <v>1252517.731892</v>
      </c>
      <c r="I60" s="275">
        <f>'6.Cons Profit &amp; Loss'!H42</f>
        <v>1252517.731892</v>
      </c>
    </row>
    <row r="61" spans="2:10">
      <c r="B61" s="85" t="s">
        <v>48</v>
      </c>
      <c r="C61" s="275">
        <f>'6.Cons Profit &amp; Loss'!B43</f>
        <v>27000</v>
      </c>
      <c r="D61" s="275">
        <f>'6.Cons Profit &amp; Loss'!C43</f>
        <v>27000</v>
      </c>
      <c r="E61" s="275">
        <f>'6.Cons Profit &amp; Loss'!D43</f>
        <v>27000</v>
      </c>
      <c r="F61" s="275">
        <f>'6.Cons Profit &amp; Loss'!E43</f>
        <v>27000</v>
      </c>
      <c r="G61" s="275">
        <f>'6.Cons Profit &amp; Loss'!F43</f>
        <v>27000</v>
      </c>
      <c r="H61" s="275">
        <f>'6.Cons Profit &amp; Loss'!G43</f>
        <v>0</v>
      </c>
      <c r="I61" s="275">
        <f>'6.Cons Profit &amp; Loss'!H43</f>
        <v>0</v>
      </c>
    </row>
    <row r="62" spans="2:10">
      <c r="B62" s="73"/>
      <c r="C62" s="275"/>
      <c r="D62" s="275"/>
      <c r="E62" s="275"/>
      <c r="F62" s="275"/>
      <c r="G62" s="275"/>
      <c r="H62" s="275"/>
      <c r="I62" s="275"/>
    </row>
    <row r="63" spans="2:10">
      <c r="B63" s="73" t="s">
        <v>32</v>
      </c>
      <c r="C63" s="275">
        <f>SUM(C58:C61)</f>
        <v>2685147.6954600955</v>
      </c>
      <c r="D63" s="275">
        <f t="shared" ref="D63:I63" si="7">SUM(D58:D61)</f>
        <v>4272793.255354384</v>
      </c>
      <c r="E63" s="275">
        <f t="shared" si="7"/>
        <v>5250180.331743909</v>
      </c>
      <c r="F63" s="275">
        <f t="shared" si="7"/>
        <v>6342791.2594360877</v>
      </c>
      <c r="G63" s="275">
        <f t="shared" si="7"/>
        <v>7556601.5099035027</v>
      </c>
      <c r="H63" s="275">
        <f t="shared" si="7"/>
        <v>8726388.2909920476</v>
      </c>
      <c r="I63" s="275">
        <f t="shared" si="7"/>
        <v>9900490.5575000159</v>
      </c>
    </row>
    <row r="64" spans="2:10">
      <c r="B64" s="73"/>
      <c r="C64" s="73"/>
      <c r="D64" s="73"/>
      <c r="E64" s="73"/>
      <c r="F64" s="73"/>
      <c r="G64" s="73"/>
      <c r="H64" s="73"/>
      <c r="I64" s="73"/>
    </row>
    <row r="65" spans="2:10" ht="16.5">
      <c r="B65" s="10" t="s">
        <v>43</v>
      </c>
      <c r="C65" s="86">
        <f>1/1.1</f>
        <v>0.90909090909090906</v>
      </c>
      <c r="D65" s="86">
        <f t="shared" ref="D65:I65" si="8">C65/1.1</f>
        <v>0.82644628099173545</v>
      </c>
      <c r="E65" s="86">
        <f t="shared" si="8"/>
        <v>0.75131480090157765</v>
      </c>
      <c r="F65" s="86">
        <f t="shared" si="8"/>
        <v>0.68301345536507052</v>
      </c>
      <c r="G65" s="86">
        <f t="shared" si="8"/>
        <v>0.62092132305915493</v>
      </c>
      <c r="H65" s="86">
        <f t="shared" si="8"/>
        <v>0.56447393005377711</v>
      </c>
      <c r="I65" s="86">
        <f t="shared" si="8"/>
        <v>0.51315811823070645</v>
      </c>
    </row>
    <row r="66" spans="2:10">
      <c r="B66" s="73"/>
      <c r="C66" s="73"/>
      <c r="D66" s="73"/>
      <c r="E66" s="73"/>
      <c r="F66" s="73"/>
      <c r="G66" s="73"/>
      <c r="H66" s="73"/>
      <c r="I66" s="73"/>
    </row>
    <row r="67" spans="2:10" ht="16.5">
      <c r="B67" s="10" t="s">
        <v>44</v>
      </c>
      <c r="C67" s="74">
        <f>C63*C65</f>
        <v>2441043.3595091775</v>
      </c>
      <c r="D67" s="74">
        <f t="shared" ref="D67:I67" si="9">D63*D65</f>
        <v>3531234.0953342011</v>
      </c>
      <c r="E67" s="74">
        <f t="shared" si="9"/>
        <v>3944538.1906415541</v>
      </c>
      <c r="F67" s="74">
        <f t="shared" si="9"/>
        <v>4332211.7747668093</v>
      </c>
      <c r="G67" s="74">
        <f t="shared" si="9"/>
        <v>4692055.0073600905</v>
      </c>
      <c r="H67" s="74">
        <f t="shared" si="9"/>
        <v>4925818.693791545</v>
      </c>
      <c r="I67" s="74">
        <f t="shared" si="9"/>
        <v>5080517.1040475862</v>
      </c>
    </row>
    <row r="68" spans="2:10">
      <c r="B68" s="72"/>
      <c r="C68" s="88"/>
      <c r="D68" s="88"/>
      <c r="E68" s="88"/>
      <c r="F68" s="88"/>
      <c r="G68" s="88"/>
      <c r="H68" s="88"/>
      <c r="I68" s="88"/>
    </row>
    <row r="69" spans="2:10" ht="16.5">
      <c r="B69" s="11" t="s">
        <v>45</v>
      </c>
      <c r="C69" s="88">
        <f>SUM(C67:I67)</f>
        <v>28947418.225450963</v>
      </c>
      <c r="D69" s="88"/>
      <c r="E69" s="88"/>
      <c r="F69" s="88"/>
      <c r="G69" s="88"/>
      <c r="H69" s="88"/>
      <c r="I69" s="88"/>
    </row>
    <row r="70" spans="2:10">
      <c r="B70" s="72"/>
      <c r="C70" s="88"/>
      <c r="D70" s="88"/>
      <c r="E70" s="88"/>
      <c r="F70" s="88"/>
      <c r="G70" s="88"/>
      <c r="H70" s="88"/>
      <c r="I70" s="88"/>
    </row>
    <row r="71" spans="2:10" ht="16.5">
      <c r="B71" s="11" t="s">
        <v>46</v>
      </c>
      <c r="C71" s="88">
        <f>'1.Project Cost and MOF'!D12</f>
        <v>27504655.640284203</v>
      </c>
      <c r="D71" s="88"/>
      <c r="E71" s="88"/>
      <c r="F71" s="88"/>
      <c r="G71" s="88"/>
      <c r="H71" s="88"/>
      <c r="I71" s="88"/>
    </row>
    <row r="72" spans="2:10">
      <c r="B72" s="72"/>
      <c r="C72" s="87"/>
      <c r="D72" s="72"/>
      <c r="E72" s="72"/>
      <c r="F72" s="72"/>
      <c r="G72" s="72"/>
      <c r="H72" s="72"/>
      <c r="I72" s="72"/>
    </row>
    <row r="73" spans="2:10" ht="16.5">
      <c r="B73" s="11" t="s">
        <v>47</v>
      </c>
      <c r="C73" s="87">
        <f>C69-C71</f>
        <v>1442762.5851667598</v>
      </c>
      <c r="D73" s="72"/>
      <c r="E73" s="72"/>
      <c r="F73" s="72"/>
      <c r="G73" s="72"/>
      <c r="H73" s="72"/>
      <c r="I73" s="72"/>
    </row>
    <row r="75" spans="2:10" ht="35.1" customHeight="1">
      <c r="B75" s="439" t="s">
        <v>414</v>
      </c>
      <c r="C75" s="439"/>
      <c r="D75" s="439"/>
      <c r="E75" s="439"/>
      <c r="F75" s="439"/>
      <c r="G75" s="439"/>
      <c r="H75" s="439"/>
      <c r="I75" s="439"/>
      <c r="J75" s="439"/>
    </row>
    <row r="76" spans="2:10" ht="18.75">
      <c r="B76" s="404" t="s">
        <v>552</v>
      </c>
      <c r="C76" s="404"/>
      <c r="D76" s="404"/>
      <c r="E76" s="404"/>
      <c r="F76" s="404"/>
      <c r="G76" s="404"/>
      <c r="H76" s="404"/>
      <c r="I76" s="404"/>
    </row>
    <row r="77" spans="2:10">
      <c r="B77" s="72"/>
      <c r="C77" s="72"/>
      <c r="D77" s="72"/>
      <c r="E77" s="72"/>
      <c r="F77" s="72"/>
      <c r="G77" s="72"/>
      <c r="H77" s="72"/>
      <c r="I77" s="72"/>
    </row>
    <row r="78" spans="2:10" ht="15.75">
      <c r="B78" s="57" t="s">
        <v>0</v>
      </c>
      <c r="C78" s="57" t="s">
        <v>2</v>
      </c>
      <c r="D78" s="57" t="s">
        <v>3</v>
      </c>
      <c r="E78" s="57" t="s">
        <v>4</v>
      </c>
      <c r="F78" s="57" t="s">
        <v>5</v>
      </c>
      <c r="G78" s="57" t="s">
        <v>6</v>
      </c>
      <c r="H78" s="57" t="s">
        <v>168</v>
      </c>
      <c r="I78" s="57" t="s">
        <v>167</v>
      </c>
    </row>
    <row r="79" spans="2:10" ht="15.75">
      <c r="B79" s="54"/>
      <c r="C79" s="55"/>
      <c r="D79" s="55"/>
      <c r="E79" s="55"/>
      <c r="F79" s="55"/>
      <c r="G79" s="55"/>
      <c r="H79" s="55"/>
      <c r="I79" s="55"/>
    </row>
    <row r="80" spans="2:10">
      <c r="B80" s="75" t="s">
        <v>27</v>
      </c>
      <c r="C80" s="74">
        <f>'6.Cons Profit &amp; Loss'!B51</f>
        <v>1405629.9635680956</v>
      </c>
      <c r="D80" s="74">
        <f>'6.Cons Profit &amp; Loss'!C51</f>
        <v>2993275.5234623845</v>
      </c>
      <c r="E80" s="74">
        <f>'6.Cons Profit &amp; Loss'!D51</f>
        <v>3970662.5998519091</v>
      </c>
      <c r="F80" s="74">
        <f>'6.Cons Profit &amp; Loss'!E51</f>
        <v>5063273.5275440877</v>
      </c>
      <c r="G80" s="74">
        <f>'6.Cons Profit &amp; Loss'!F51</f>
        <v>6277083.7780115027</v>
      </c>
      <c r="H80" s="74">
        <f>'6.Cons Profit &amp; Loss'!G51</f>
        <v>7473870.5591000468</v>
      </c>
      <c r="I80" s="74">
        <f>'6.Cons Profit &amp; Loss'!H51</f>
        <v>8647972.8256080151</v>
      </c>
    </row>
    <row r="81" spans="2:10">
      <c r="B81" s="73"/>
      <c r="C81" s="73"/>
      <c r="D81" s="73"/>
      <c r="E81" s="73"/>
      <c r="F81" s="73"/>
      <c r="G81" s="73"/>
      <c r="H81" s="73"/>
      <c r="I81" s="73"/>
    </row>
    <row r="82" spans="2:10">
      <c r="B82" s="75" t="s">
        <v>124</v>
      </c>
      <c r="C82" s="456">
        <f>AVERAGE(C80:I80)</f>
        <v>5118824.1110208631</v>
      </c>
      <c r="D82" s="456"/>
      <c r="E82" s="456"/>
      <c r="F82" s="456"/>
      <c r="G82" s="456"/>
      <c r="H82" s="456"/>
      <c r="I82" s="456"/>
    </row>
    <row r="83" spans="2:10">
      <c r="B83" s="75" t="s">
        <v>125</v>
      </c>
      <c r="C83" s="456">
        <f>'1.Project Cost and MOF'!D12</f>
        <v>27504655.640284203</v>
      </c>
      <c r="D83" s="456"/>
      <c r="E83" s="456"/>
      <c r="F83" s="456"/>
      <c r="G83" s="456"/>
      <c r="H83" s="456"/>
      <c r="I83" s="456"/>
    </row>
    <row r="84" spans="2:10">
      <c r="B84" s="73"/>
      <c r="C84" s="73"/>
      <c r="D84" s="73"/>
      <c r="E84" s="73"/>
      <c r="F84" s="73"/>
      <c r="G84" s="73"/>
      <c r="H84" s="73"/>
      <c r="I84" s="73"/>
    </row>
    <row r="85" spans="2:10">
      <c r="B85" s="223" t="s">
        <v>126</v>
      </c>
      <c r="C85" s="457">
        <f>C82/C83</f>
        <v>0.18610755131664578</v>
      </c>
      <c r="D85" s="457"/>
      <c r="E85" s="457"/>
      <c r="F85" s="457"/>
      <c r="G85" s="457"/>
      <c r="H85" s="457"/>
      <c r="I85" s="457"/>
    </row>
    <row r="88" spans="2:10">
      <c r="B88" s="455" t="s">
        <v>415</v>
      </c>
      <c r="C88" s="455"/>
      <c r="D88" s="455"/>
      <c r="E88" s="455"/>
      <c r="F88" s="455"/>
      <c r="G88" s="455"/>
      <c r="H88" s="455"/>
      <c r="I88" s="455"/>
    </row>
    <row r="90" spans="2:10" ht="18.75">
      <c r="B90" s="404" t="s">
        <v>553</v>
      </c>
      <c r="C90" s="404"/>
      <c r="D90" s="404"/>
      <c r="E90" s="404"/>
      <c r="F90" s="404"/>
      <c r="G90" s="404"/>
      <c r="H90" s="404"/>
      <c r="I90" s="404"/>
      <c r="J90" s="404"/>
    </row>
    <row r="92" spans="2:10">
      <c r="B92" s="80" t="s">
        <v>0</v>
      </c>
      <c r="C92" s="80" t="s">
        <v>328</v>
      </c>
      <c r="D92" s="80" t="s">
        <v>2</v>
      </c>
      <c r="E92" s="80" t="s">
        <v>3</v>
      </c>
      <c r="F92" s="80" t="s">
        <v>4</v>
      </c>
      <c r="G92" s="80" t="s">
        <v>5</v>
      </c>
      <c r="H92" s="80" t="s">
        <v>6</v>
      </c>
      <c r="I92" s="80" t="s">
        <v>168</v>
      </c>
      <c r="J92" s="80" t="s">
        <v>167</v>
      </c>
    </row>
    <row r="93" spans="2:10">
      <c r="B93" s="81"/>
      <c r="C93" s="81"/>
      <c r="D93" s="82"/>
      <c r="E93" s="82"/>
      <c r="F93" s="82"/>
      <c r="G93" s="82"/>
      <c r="H93" s="82"/>
      <c r="I93" s="82"/>
      <c r="J93" s="82"/>
    </row>
    <row r="94" spans="2:10">
      <c r="B94" s="9" t="s">
        <v>277</v>
      </c>
      <c r="C94" s="83">
        <f>'1.Project Cost and MOF'!D12</f>
        <v>27504655.640284203</v>
      </c>
      <c r="D94" s="82"/>
      <c r="E94" s="82"/>
      <c r="F94" s="82"/>
      <c r="G94" s="82"/>
      <c r="H94" s="82"/>
      <c r="I94" s="82"/>
      <c r="J94" s="82"/>
    </row>
    <row r="95" spans="2:10">
      <c r="B95" s="9" t="str">
        <f>B58</f>
        <v>Profit after Tax &amp; Dividend</v>
      </c>
      <c r="C95" s="9"/>
      <c r="D95" s="20">
        <f>'6.Cons Profit &amp; Loss'!B51</f>
        <v>1405629.9635680956</v>
      </c>
      <c r="E95" s="20">
        <f>'6.Cons Profit &amp; Loss'!C51</f>
        <v>2993275.5234623845</v>
      </c>
      <c r="F95" s="20">
        <f>'6.Cons Profit &amp; Loss'!D51</f>
        <v>3970662.5998519091</v>
      </c>
      <c r="G95" s="20">
        <f>'6.Cons Profit &amp; Loss'!E51</f>
        <v>5063273.5275440877</v>
      </c>
      <c r="H95" s="20">
        <f>'6.Cons Profit &amp; Loss'!F51</f>
        <v>6277083.7780115027</v>
      </c>
      <c r="I95" s="20">
        <f>'6.Cons Profit &amp; Loss'!G51</f>
        <v>7473870.5591000468</v>
      </c>
      <c r="J95" s="20">
        <f>'6.Cons Profit &amp; Loss'!H51</f>
        <v>8647972.8256080151</v>
      </c>
    </row>
    <row r="96" spans="2:10">
      <c r="B96" s="9" t="str">
        <f>B60</f>
        <v>Add: Deprication</v>
      </c>
      <c r="C96" s="9"/>
      <c r="D96" s="71">
        <f>'6.Cons Profit &amp; Loss'!B42</f>
        <v>1252517.731892</v>
      </c>
      <c r="E96" s="71">
        <f>'6.Cons Profit &amp; Loss'!C42</f>
        <v>1252517.731892</v>
      </c>
      <c r="F96" s="71">
        <f>'6.Cons Profit &amp; Loss'!D42</f>
        <v>1252517.731892</v>
      </c>
      <c r="G96" s="71">
        <f>'6.Cons Profit &amp; Loss'!E42</f>
        <v>1252517.731892</v>
      </c>
      <c r="H96" s="71">
        <f>'6.Cons Profit &amp; Loss'!F42</f>
        <v>1252517.731892</v>
      </c>
      <c r="I96" s="71">
        <f>'6.Cons Profit &amp; Loss'!G42</f>
        <v>1252517.731892</v>
      </c>
      <c r="J96" s="71">
        <f>'6.Cons Profit &amp; Loss'!H42</f>
        <v>1252517.731892</v>
      </c>
    </row>
    <row r="97" spans="2:10">
      <c r="B97" s="9" t="str">
        <f>B61</f>
        <v>Add. Preliminary exp Written off</v>
      </c>
      <c r="C97" s="9"/>
      <c r="D97" s="71">
        <f>'6.Cons Profit &amp; Loss'!B43</f>
        <v>27000</v>
      </c>
      <c r="E97" s="71">
        <f>'6.Cons Profit &amp; Loss'!C43</f>
        <v>27000</v>
      </c>
      <c r="F97" s="71">
        <f>'6.Cons Profit &amp; Loss'!D43</f>
        <v>27000</v>
      </c>
      <c r="G97" s="71">
        <f>'6.Cons Profit &amp; Loss'!E43</f>
        <v>27000</v>
      </c>
      <c r="H97" s="71">
        <f>'6.Cons Profit &amp; Loss'!F43</f>
        <v>27000</v>
      </c>
      <c r="I97" s="71">
        <f>'6.Cons Profit &amp; Loss'!G43</f>
        <v>0</v>
      </c>
      <c r="J97" s="71">
        <f>'6.Cons Profit &amp; Loss'!H43</f>
        <v>0</v>
      </c>
    </row>
    <row r="98" spans="2:10">
      <c r="B98" s="9" t="str">
        <f>B63</f>
        <v xml:space="preserve">Net Cash Accrual (A)      </v>
      </c>
      <c r="C98" s="9"/>
      <c r="D98" s="222">
        <f>SUM(D95:D97)</f>
        <v>2685147.6954600955</v>
      </c>
      <c r="E98" s="222">
        <f t="shared" ref="E98:J98" si="10">SUM(E95:E97)</f>
        <v>4272793.255354384</v>
      </c>
      <c r="F98" s="222">
        <f t="shared" si="10"/>
        <v>5250180.331743909</v>
      </c>
      <c r="G98" s="222">
        <f t="shared" si="10"/>
        <v>6342791.2594360877</v>
      </c>
      <c r="H98" s="222">
        <f t="shared" si="10"/>
        <v>7556601.5099035027</v>
      </c>
      <c r="I98" s="222">
        <f t="shared" si="10"/>
        <v>8726388.2909920476</v>
      </c>
      <c r="J98" s="222">
        <f t="shared" si="10"/>
        <v>9900490.5575000159</v>
      </c>
    </row>
    <row r="99" spans="2:10">
      <c r="B99" s="9" t="s">
        <v>278</v>
      </c>
      <c r="C99" s="84"/>
      <c r="D99" s="56">
        <f>D98-C94</f>
        <v>-24819507.944824107</v>
      </c>
      <c r="E99" s="56">
        <f>D99+E98</f>
        <v>-20546714.689469725</v>
      </c>
      <c r="F99" s="56">
        <f>E99+F98</f>
        <v>-15296534.357725816</v>
      </c>
      <c r="G99" s="56">
        <f>F99+G98</f>
        <v>-8953743.0982897282</v>
      </c>
      <c r="H99" s="56">
        <f>G99+H98</f>
        <v>-1397141.5883862255</v>
      </c>
      <c r="I99" s="56">
        <f t="shared" ref="I99:J99" si="11">H99+I98</f>
        <v>7329246.7026058221</v>
      </c>
      <c r="J99" s="56">
        <f t="shared" si="11"/>
        <v>17229737.260105837</v>
      </c>
    </row>
    <row r="101" spans="2:10">
      <c r="B101" s="5" t="s">
        <v>279</v>
      </c>
      <c r="D101" s="50">
        <f>4+(-G99/H98)</f>
        <v>5.1848902031627793</v>
      </c>
    </row>
    <row r="103" spans="2:10">
      <c r="B103" s="455" t="s">
        <v>416</v>
      </c>
      <c r="C103" s="455"/>
      <c r="D103" s="455"/>
      <c r="E103" s="455"/>
      <c r="F103" s="455"/>
      <c r="G103" s="455"/>
      <c r="H103" s="455"/>
      <c r="I103" s="455"/>
      <c r="J103" s="455"/>
    </row>
    <row r="105" spans="2:10" ht="18.75">
      <c r="B105" s="404" t="s">
        <v>554</v>
      </c>
      <c r="C105" s="404"/>
      <c r="D105" s="404"/>
      <c r="E105" s="404"/>
      <c r="F105" s="404"/>
      <c r="G105" s="404"/>
      <c r="H105" s="404"/>
      <c r="I105" s="404"/>
    </row>
    <row r="107" spans="2:10" ht="15.75">
      <c r="B107" s="57" t="s">
        <v>0</v>
      </c>
      <c r="C107" s="57" t="s">
        <v>2</v>
      </c>
      <c r="D107" s="57" t="s">
        <v>3</v>
      </c>
      <c r="E107" s="57" t="s">
        <v>4</v>
      </c>
      <c r="F107" s="57" t="s">
        <v>5</v>
      </c>
      <c r="G107" s="57" t="s">
        <v>6</v>
      </c>
      <c r="H107" s="57" t="s">
        <v>168</v>
      </c>
      <c r="I107" s="57" t="s">
        <v>167</v>
      </c>
    </row>
    <row r="108" spans="2:10" ht="15.75">
      <c r="B108" s="54"/>
      <c r="C108" s="55"/>
      <c r="D108" s="55"/>
      <c r="E108" s="55"/>
      <c r="F108" s="55"/>
      <c r="G108" s="55"/>
      <c r="H108" s="55"/>
      <c r="I108" s="55"/>
    </row>
    <row r="109" spans="2:10">
      <c r="B109" s="73" t="s">
        <v>331</v>
      </c>
      <c r="C109" s="74">
        <f>'6.Cons Profit &amp; Loss'!B40</f>
        <v>3890469.5511804447</v>
      </c>
      <c r="D109" s="74">
        <f>'6.Cons Profit &amp; Loss'!C40</f>
        <v>5970143.0588472858</v>
      </c>
      <c r="E109" s="74">
        <f>'6.Cons Profit &amp; Loss'!D40</f>
        <v>7306207.2785984874</v>
      </c>
      <c r="F109" s="74">
        <f>'6.Cons Profit &amp; Loss'!E40</f>
        <v>8760952.5626776665</v>
      </c>
      <c r="G109" s="74">
        <f>'6.Cons Profit &amp; Loss'!F40</f>
        <v>10342906.856968269</v>
      </c>
      <c r="H109" s="74">
        <f>'6.Cons Profit &amp; Loss'!G40</f>
        <v>11969261.926781237</v>
      </c>
      <c r="I109" s="74">
        <f>'6.Cons Profit &amp; Loss'!H40</f>
        <v>13732395.236433074</v>
      </c>
    </row>
    <row r="110" spans="2:10">
      <c r="B110" s="75" t="s">
        <v>1</v>
      </c>
      <c r="C110" s="76">
        <f t="shared" ref="C110:I110" si="12">SUM(C109:C109)</f>
        <v>3890469.5511804447</v>
      </c>
      <c r="D110" s="76">
        <f t="shared" si="12"/>
        <v>5970143.0588472858</v>
      </c>
      <c r="E110" s="76">
        <f t="shared" si="12"/>
        <v>7306207.2785984874</v>
      </c>
      <c r="F110" s="76">
        <f t="shared" si="12"/>
        <v>8760952.5626776665</v>
      </c>
      <c r="G110" s="76">
        <f t="shared" si="12"/>
        <v>10342906.856968269</v>
      </c>
      <c r="H110" s="76">
        <f t="shared" si="12"/>
        <v>11969261.926781237</v>
      </c>
      <c r="I110" s="76">
        <f t="shared" si="12"/>
        <v>13732395.236433074</v>
      </c>
    </row>
    <row r="111" spans="2:10">
      <c r="B111" s="73"/>
      <c r="C111" s="73"/>
      <c r="D111" s="73"/>
      <c r="E111" s="73"/>
      <c r="F111" s="73"/>
      <c r="G111" s="73"/>
      <c r="H111" s="73"/>
      <c r="I111" s="73"/>
    </row>
    <row r="112" spans="2:10">
      <c r="B112" s="73" t="s">
        <v>280</v>
      </c>
      <c r="C112" s="77">
        <f>'8.Cash Flow '!C26+'8.Cash Flow '!C27</f>
        <v>1642129.3539606472</v>
      </c>
      <c r="D112" s="77">
        <f>'8.Cash Flow '!D26+'8.Cash Flow '!D27</f>
        <v>2319905.1352812946</v>
      </c>
      <c r="E112" s="77">
        <f>'8.Cash Flow '!E26+'8.Cash Flow '!E27</f>
        <v>2319905.1352812941</v>
      </c>
      <c r="F112" s="77">
        <f>'8.Cash Flow '!F26+'8.Cash Flow '!F27</f>
        <v>2319905.1352812941</v>
      </c>
      <c r="G112" s="77">
        <f>'8.Cash Flow '!G26+'8.Cash Flow '!G27</f>
        <v>2319905.1352812941</v>
      </c>
      <c r="H112" s="77">
        <f>'8.Cash Flow '!H26+'8.Cash Flow '!H27</f>
        <v>0</v>
      </c>
      <c r="I112" s="77">
        <f>'8.Cash Flow '!I26+'8.Cash Flow '!I27</f>
        <v>0</v>
      </c>
    </row>
    <row r="113" spans="2:18">
      <c r="B113" s="73"/>
      <c r="C113" s="73"/>
      <c r="D113" s="73"/>
      <c r="E113" s="73"/>
      <c r="F113" s="73"/>
      <c r="G113" s="73"/>
      <c r="H113" s="73"/>
      <c r="I113" s="73"/>
    </row>
    <row r="114" spans="2:18">
      <c r="B114" s="75" t="s">
        <v>329</v>
      </c>
      <c r="C114" s="78">
        <f>C110/C112</f>
        <v>2.3691614438272062</v>
      </c>
      <c r="D114" s="78">
        <f t="shared" ref="D114:G114" si="13">D110/D112</f>
        <v>2.5734427533492186</v>
      </c>
      <c r="E114" s="78">
        <f t="shared" si="13"/>
        <v>3.1493560523165929</v>
      </c>
      <c r="F114" s="78">
        <f t="shared" si="13"/>
        <v>3.7764270742973203</v>
      </c>
      <c r="G114" s="78">
        <f t="shared" si="13"/>
        <v>4.4583318083453296</v>
      </c>
      <c r="H114" s="78">
        <v>0</v>
      </c>
      <c r="I114" s="78">
        <v>0</v>
      </c>
    </row>
    <row r="115" spans="2:18">
      <c r="B115" s="72"/>
      <c r="C115" s="72"/>
      <c r="D115" s="72"/>
      <c r="E115" s="72"/>
      <c r="F115" s="72"/>
      <c r="G115" s="72"/>
      <c r="H115" s="72"/>
      <c r="I115" s="72"/>
    </row>
    <row r="116" spans="2:18">
      <c r="B116" s="72" t="s">
        <v>330</v>
      </c>
      <c r="C116" s="79">
        <f>AVERAGE(C114:I114)</f>
        <v>2.3323884474479519</v>
      </c>
      <c r="D116" s="72"/>
      <c r="E116" s="72"/>
      <c r="F116" s="72"/>
      <c r="G116" s="72"/>
      <c r="H116" s="72"/>
      <c r="I116" s="72"/>
    </row>
    <row r="118" spans="2:18" ht="29.45" customHeight="1">
      <c r="B118" s="439" t="s">
        <v>417</v>
      </c>
      <c r="C118" s="439"/>
      <c r="D118" s="439"/>
      <c r="E118" s="439"/>
      <c r="F118" s="439"/>
      <c r="G118" s="439"/>
      <c r="H118" s="439"/>
      <c r="I118" s="439"/>
      <c r="J118" s="439"/>
    </row>
    <row r="120" spans="2:18" ht="21">
      <c r="B120" s="450" t="s">
        <v>555</v>
      </c>
      <c r="C120" s="451"/>
      <c r="D120" s="451"/>
      <c r="E120" s="451"/>
      <c r="F120" s="451"/>
      <c r="G120" s="451"/>
      <c r="H120" s="451"/>
      <c r="I120" s="451"/>
      <c r="K120" s="452"/>
      <c r="L120" s="452"/>
      <c r="M120" s="452"/>
      <c r="N120" s="452"/>
      <c r="O120" s="452"/>
      <c r="P120" s="452"/>
      <c r="Q120" s="452"/>
      <c r="R120" s="452"/>
    </row>
    <row r="121" spans="2:18">
      <c r="B121" s="64" t="s">
        <v>344</v>
      </c>
      <c r="C121" s="65" t="s">
        <v>2</v>
      </c>
      <c r="D121" s="65" t="s">
        <v>3</v>
      </c>
      <c r="E121" s="65" t="s">
        <v>4</v>
      </c>
      <c r="F121" s="65" t="s">
        <v>5</v>
      </c>
      <c r="G121" s="65" t="s">
        <v>6</v>
      </c>
      <c r="H121" s="65" t="s">
        <v>168</v>
      </c>
      <c r="I121" s="65" t="s">
        <v>167</v>
      </c>
    </row>
    <row r="122" spans="2:18">
      <c r="B122" s="59" t="str">
        <f>'6.Cons Profit &amp; Loss'!A8</f>
        <v>Activity 1 - Flour Mill</v>
      </c>
      <c r="C122" s="272">
        <f>'6.Cons Profit &amp; Loss'!B8*(1+$M$123)</f>
        <v>25101360.998286296</v>
      </c>
      <c r="D122" s="272">
        <f>'6.Cons Profit &amp; Loss'!C8*(1+$M$123)</f>
        <v>32136347.699121799</v>
      </c>
      <c r="E122" s="272">
        <f>'6.Cons Profit &amp; Loss'!D8*(1+$M$123)</f>
        <v>38598296.750851698</v>
      </c>
      <c r="F122" s="272">
        <f>'6.Cons Profit &amp; Loss'!E8*(1+$M$123)</f>
        <v>45626099.838506766</v>
      </c>
      <c r="G122" s="272">
        <f>'6.Cons Profit &amp; Loss'!F8*(1+$M$123)</f>
        <v>53260187.493050218</v>
      </c>
      <c r="H122" s="272">
        <f>'6.Cons Profit &amp; Loss'!G8*(1+$M$123)</f>
        <v>61543618.663451754</v>
      </c>
      <c r="I122" s="272">
        <f>'6.Cons Profit &amp; Loss'!H8*(1+$M$123)</f>
        <v>70522242.482160807</v>
      </c>
    </row>
    <row r="123" spans="2:18">
      <c r="B123" s="59" t="str">
        <f>'6.Cons Profit &amp; Loss'!A9</f>
        <v>Activity 2 - Cleaning &amp; Grading Unit</v>
      </c>
      <c r="C123" s="272">
        <f>'6.Cons Profit &amp; Loss'!B9*(1+$M$123)</f>
        <v>26590133.453178745</v>
      </c>
      <c r="D123" s="272">
        <f>'6.Cons Profit &amp; Loss'!C9*(1+$M$123)</f>
        <v>32016417.362835016</v>
      </c>
      <c r="E123" s="272">
        <f>'6.Cons Profit &amp; Loss'!D9*(1+$M$123)</f>
        <v>36705211.980423152</v>
      </c>
      <c r="F123" s="272">
        <f>'6.Cons Profit &amp; Loss'!E9*(1+$M$123)</f>
        <v>41782845.016363017</v>
      </c>
      <c r="G123" s="272">
        <f>'6.Cons Profit &amp; Loss'!F9*(1+$M$123)</f>
        <v>47276478.325945802</v>
      </c>
      <c r="H123" s="272">
        <f>'6.Cons Profit &amp; Loss'!G9*(1+$M$123)</f>
        <v>53215017.853945963</v>
      </c>
      <c r="I123" s="272">
        <f>'6.Cons Profit &amp; Loss'!H9*(1+$M$123)</f>
        <v>59629220.138931282</v>
      </c>
      <c r="L123" s="5" t="s">
        <v>363</v>
      </c>
      <c r="M123" s="230">
        <v>0.05</v>
      </c>
    </row>
    <row r="124" spans="2:18">
      <c r="B124" s="59" t="str">
        <f>'6.Cons Profit &amp; Loss'!A10</f>
        <v>Faclitiy 3 - Warehouse</v>
      </c>
      <c r="C124" s="272">
        <f>'6.Cons Profit &amp; Loss'!B10*(1+$M$123)</f>
        <v>1209600</v>
      </c>
      <c r="D124" s="272">
        <f>'6.Cons Profit &amp; Loss'!C10*(1+$M$123)</f>
        <v>1349460.0000000002</v>
      </c>
      <c r="E124" s="272">
        <f>'6.Cons Profit &amp; Loss'!D10*(1+$M$123)</f>
        <v>1500282.0000000002</v>
      </c>
      <c r="F124" s="272">
        <f>'6.Cons Profit &amp; Loss'!E10*(1+$M$123)</f>
        <v>1662812.5500000007</v>
      </c>
      <c r="G124" s="272">
        <f>'6.Cons Profit &amp; Loss'!F10*(1+$M$123)</f>
        <v>1837845.4500000011</v>
      </c>
      <c r="H124" s="272">
        <f>'6.Cons Profit &amp; Loss'!G10*(1+$M$123)</f>
        <v>1929737.7225000013</v>
      </c>
      <c r="I124" s="272">
        <f>'6.Cons Profit &amp; Loss'!H10*(1+$M$123)</f>
        <v>2026224.6086250015</v>
      </c>
      <c r="L124" s="5" t="s">
        <v>364</v>
      </c>
      <c r="M124" s="230">
        <v>0.05</v>
      </c>
    </row>
    <row r="125" spans="2:18">
      <c r="B125" s="59" t="str">
        <f>'6.Cons Profit &amp; Loss'!A11</f>
        <v xml:space="preserve">Faclitiy 4 - Custom Hiring </v>
      </c>
      <c r="C125" s="272">
        <f>'6.Cons Profit &amp; Loss'!B11*(1+$M$123)</f>
        <v>0</v>
      </c>
      <c r="D125" s="272">
        <f>'6.Cons Profit &amp; Loss'!C11*(1+$M$123)</f>
        <v>0</v>
      </c>
      <c r="E125" s="272">
        <f>'6.Cons Profit &amp; Loss'!D11*(1+$M$123)</f>
        <v>0</v>
      </c>
      <c r="F125" s="272">
        <f>'6.Cons Profit &amp; Loss'!E11*(1+$M$123)</f>
        <v>0</v>
      </c>
      <c r="G125" s="272">
        <f>'6.Cons Profit &amp; Loss'!F11*(1+$M$123)</f>
        <v>0</v>
      </c>
      <c r="H125" s="272">
        <f>'6.Cons Profit &amp; Loss'!G11*(1+$M$123)</f>
        <v>0</v>
      </c>
      <c r="I125" s="272">
        <f>'6.Cons Profit &amp; Loss'!H11*(1+$M$123)</f>
        <v>0</v>
      </c>
    </row>
    <row r="126" spans="2:18">
      <c r="B126" s="59" t="str">
        <f>'6.Cons Profit &amp; Loss'!A12</f>
        <v>Faclitiy 5 - Agri Input Centre</v>
      </c>
      <c r="C126" s="272">
        <f>'6.Cons Profit &amp; Loss'!B12*(1+$M$123)</f>
        <v>0</v>
      </c>
      <c r="D126" s="272">
        <f>'6.Cons Profit &amp; Loss'!C12*(1+$M$123)</f>
        <v>0</v>
      </c>
      <c r="E126" s="272">
        <f>'6.Cons Profit &amp; Loss'!D12*(1+$M$123)</f>
        <v>0</v>
      </c>
      <c r="F126" s="272">
        <f>'6.Cons Profit &amp; Loss'!E12*(1+$M$123)</f>
        <v>0</v>
      </c>
      <c r="G126" s="272">
        <f>'6.Cons Profit &amp; Loss'!F12*(1+$M$123)</f>
        <v>0</v>
      </c>
      <c r="H126" s="272">
        <f>'6.Cons Profit &amp; Loss'!G12*(1+$M$123)</f>
        <v>0</v>
      </c>
      <c r="I126" s="272">
        <f>'6.Cons Profit &amp; Loss'!H12*(1+$M$123)</f>
        <v>0</v>
      </c>
      <c r="K126" s="4"/>
    </row>
    <row r="127" spans="2:18">
      <c r="B127" s="59" t="str">
        <f>'6.Cons Profit &amp; Loss'!A13</f>
        <v>Facility 4 - Roasted Channa</v>
      </c>
      <c r="C127" s="272">
        <f>'6.Cons Profit &amp; Loss'!B13*(1+$M$123)</f>
        <v>0</v>
      </c>
      <c r="D127" s="272">
        <f>'6.Cons Profit &amp; Loss'!C13*(1+$M$123)</f>
        <v>0</v>
      </c>
      <c r="E127" s="272">
        <f>'6.Cons Profit &amp; Loss'!D13*(1+$M$123)</f>
        <v>0</v>
      </c>
      <c r="F127" s="272">
        <f>'6.Cons Profit &amp; Loss'!E13*(1+$M$123)</f>
        <v>0</v>
      </c>
      <c r="G127" s="272">
        <f>'6.Cons Profit &amp; Loss'!F13*(1+$M$123)</f>
        <v>0</v>
      </c>
      <c r="H127" s="272">
        <f>'6.Cons Profit &amp; Loss'!G13*(1+$M$123)</f>
        <v>0</v>
      </c>
      <c r="I127" s="272">
        <f>'6.Cons Profit &amp; Loss'!H13*(1+$M$123)</f>
        <v>0</v>
      </c>
    </row>
    <row r="128" spans="2:18">
      <c r="B128" s="59">
        <f>'6.Cons Profit &amp; Loss'!A14</f>
        <v>0</v>
      </c>
      <c r="C128" s="272">
        <f>'6.Cons Profit &amp; Loss'!B14*(1+$M$123)</f>
        <v>0</v>
      </c>
      <c r="D128" s="272">
        <f>'6.Cons Profit &amp; Loss'!C14*(1+$M$123)</f>
        <v>0</v>
      </c>
      <c r="E128" s="272">
        <f>'6.Cons Profit &amp; Loss'!D14*(1+$M$123)</f>
        <v>0</v>
      </c>
      <c r="F128" s="272">
        <f>'6.Cons Profit &amp; Loss'!E14*(1+$M$123)</f>
        <v>0</v>
      </c>
      <c r="G128" s="272">
        <f>'6.Cons Profit &amp; Loss'!F14*(1+$M$123)</f>
        <v>0</v>
      </c>
      <c r="H128" s="272">
        <f>'6.Cons Profit &amp; Loss'!G14*(1+$M$123)</f>
        <v>0</v>
      </c>
      <c r="I128" s="272">
        <f>'6.Cons Profit &amp; Loss'!H14*(1+$M$123)</f>
        <v>0</v>
      </c>
    </row>
    <row r="129" spans="2:9">
      <c r="B129" s="59" t="s">
        <v>345</v>
      </c>
      <c r="C129" s="272">
        <f>SUM(C122:C128)</f>
        <v>52901094.45146504</v>
      </c>
      <c r="D129" s="272">
        <f t="shared" ref="D129:I129" si="14">SUM(D122:D128)</f>
        <v>65502225.061956815</v>
      </c>
      <c r="E129" s="272">
        <f t="shared" si="14"/>
        <v>76803790.731274843</v>
      </c>
      <c r="F129" s="272">
        <f t="shared" si="14"/>
        <v>89071757.40486978</v>
      </c>
      <c r="G129" s="272">
        <f t="shared" si="14"/>
        <v>102374511.26899602</v>
      </c>
      <c r="H129" s="272">
        <f t="shared" si="14"/>
        <v>116688374.23989771</v>
      </c>
      <c r="I129" s="272">
        <f t="shared" si="14"/>
        <v>132177687.22971708</v>
      </c>
    </row>
    <row r="130" spans="2:9">
      <c r="B130" s="59" t="s">
        <v>346</v>
      </c>
      <c r="C130" s="272"/>
      <c r="D130" s="272"/>
      <c r="E130" s="272"/>
      <c r="F130" s="272"/>
      <c r="G130" s="272"/>
      <c r="H130" s="272"/>
      <c r="I130" s="272"/>
    </row>
    <row r="131" spans="2:9">
      <c r="B131" s="59" t="s">
        <v>347</v>
      </c>
      <c r="C131" s="272">
        <f>'6.Cons Profit &amp; Loss'!B36</f>
        <v>2212000</v>
      </c>
      <c r="D131" s="272">
        <f>'6.Cons Profit &amp; Loss'!C36</f>
        <v>2322600</v>
      </c>
      <c r="E131" s="272">
        <f>'6.Cons Profit &amp; Loss'!D36</f>
        <v>2438730</v>
      </c>
      <c r="F131" s="272">
        <f>'6.Cons Profit &amp; Loss'!E36</f>
        <v>2560666.5000000005</v>
      </c>
      <c r="G131" s="272">
        <f>'6.Cons Profit &amp; Loss'!F36</f>
        <v>2688699.8250000002</v>
      </c>
      <c r="H131" s="272">
        <f>'6.Cons Profit &amp; Loss'!G36</f>
        <v>2823134.8162500006</v>
      </c>
      <c r="I131" s="272">
        <f>'6.Cons Profit &amp; Loss'!H36</f>
        <v>2964291.5570625011</v>
      </c>
    </row>
    <row r="132" spans="2:9">
      <c r="B132" s="59" t="s">
        <v>305</v>
      </c>
      <c r="C132" s="272">
        <f>'6.Cons Profit &amp; Loss'!B25*(1+M123)</f>
        <v>46493501.422725573</v>
      </c>
      <c r="D132" s="272">
        <f>'6.Cons Profit &amp; Loss'!C25*(1+N123)</f>
        <v>54090328.428730629</v>
      </c>
      <c r="E132" s="272">
        <f>'6.Cons Profit &amp; Loss'!D25*(1+O123)</f>
        <v>63401530.084520414</v>
      </c>
      <c r="F132" s="272">
        <f>'6.Cons Profit &amp; Loss'!E25*(1+P123)</f>
        <v>73508626.084817365</v>
      </c>
      <c r="G132" s="272">
        <f>'6.Cons Profit &amp; Loss'!F25*(1+Q123)</f>
        <v>84467927.859932691</v>
      </c>
      <c r="H132" s="272">
        <f>'6.Cons Profit &amp; Loss'!G25*(1+R123)</f>
        <v>96339388.247347549</v>
      </c>
      <c r="I132" s="272">
        <f>'6.Cons Profit &amp; Loss'!H25*(1+S123)</f>
        <v>109186824.85385402</v>
      </c>
    </row>
    <row r="133" spans="2:9">
      <c r="B133" s="59" t="s">
        <v>348</v>
      </c>
      <c r="C133" s="272">
        <f t="shared" ref="C133:I133" si="15">SUM(C131:C132)</f>
        <v>48705501.422725573</v>
      </c>
      <c r="D133" s="272">
        <f t="shared" si="15"/>
        <v>56412928.428730629</v>
      </c>
      <c r="E133" s="272">
        <f t="shared" si="15"/>
        <v>65840260.084520414</v>
      </c>
      <c r="F133" s="272">
        <f t="shared" si="15"/>
        <v>76069292.584817365</v>
      </c>
      <c r="G133" s="272">
        <f t="shared" si="15"/>
        <v>87156627.684932694</v>
      </c>
      <c r="H133" s="272">
        <f t="shared" si="15"/>
        <v>99162523.063597545</v>
      </c>
      <c r="I133" s="272">
        <f t="shared" si="15"/>
        <v>112151116.41091652</v>
      </c>
    </row>
    <row r="134" spans="2:9">
      <c r="B134" s="61" t="s">
        <v>349</v>
      </c>
      <c r="C134" s="274">
        <f t="shared" ref="C134:I134" si="16">+C129-C133</f>
        <v>4195593.0287394673</v>
      </c>
      <c r="D134" s="274">
        <f t="shared" si="16"/>
        <v>9089296.633226186</v>
      </c>
      <c r="E134" s="274">
        <f t="shared" si="16"/>
        <v>10963530.646754429</v>
      </c>
      <c r="F134" s="274">
        <f t="shared" si="16"/>
        <v>13002464.820052415</v>
      </c>
      <c r="G134" s="274">
        <f t="shared" si="16"/>
        <v>15217883.584063321</v>
      </c>
      <c r="H134" s="274">
        <f t="shared" si="16"/>
        <v>17525851.176300168</v>
      </c>
      <c r="I134" s="274">
        <f t="shared" si="16"/>
        <v>20026570.818800554</v>
      </c>
    </row>
    <row r="135" spans="2:9">
      <c r="B135" s="8"/>
      <c r="C135" s="62"/>
      <c r="D135" s="62"/>
      <c r="E135" s="62"/>
      <c r="F135" s="62"/>
      <c r="G135" s="62"/>
      <c r="H135" s="62"/>
      <c r="I135" s="62"/>
    </row>
    <row r="136" spans="2:9">
      <c r="B136" s="64" t="s">
        <v>350</v>
      </c>
      <c r="C136" s="65" t="s">
        <v>2</v>
      </c>
      <c r="D136" s="65" t="s">
        <v>3</v>
      </c>
      <c r="E136" s="65" t="s">
        <v>4</v>
      </c>
      <c r="F136" s="65" t="s">
        <v>5</v>
      </c>
      <c r="G136" s="65" t="s">
        <v>6</v>
      </c>
      <c r="H136" s="65" t="s">
        <v>168</v>
      </c>
      <c r="I136" s="65" t="s">
        <v>167</v>
      </c>
    </row>
    <row r="137" spans="2:9">
      <c r="B137" s="59" t="str">
        <f t="shared" ref="B137:B143" si="17">B122</f>
        <v>Activity 1 - Flour Mill</v>
      </c>
      <c r="C137" s="60">
        <f>'6.Cons Profit &amp; Loss'!B8</f>
        <v>23906058.093605995</v>
      </c>
      <c r="D137" s="60">
        <f>'6.Cons Profit &amp; Loss'!C8</f>
        <v>30606045.427735046</v>
      </c>
      <c r="E137" s="60">
        <f>'6.Cons Profit &amp; Loss'!D8</f>
        <v>36760282.619858757</v>
      </c>
      <c r="F137" s="60">
        <f>'6.Cons Profit &amp; Loss'!E8</f>
        <v>43453428.417625487</v>
      </c>
      <c r="G137" s="60">
        <f>'6.Cons Profit &amp; Loss'!F8</f>
        <v>50723988.088619255</v>
      </c>
      <c r="H137" s="60">
        <f>'6.Cons Profit &amp; Loss'!G8</f>
        <v>58612970.155668333</v>
      </c>
      <c r="I137" s="60">
        <f>'6.Cons Profit &amp; Loss'!H8</f>
        <v>67164040.45920077</v>
      </c>
    </row>
    <row r="138" spans="2:9">
      <c r="B138" s="59" t="str">
        <f t="shared" si="17"/>
        <v>Activity 2 - Cleaning &amp; Grading Unit</v>
      </c>
      <c r="C138" s="60">
        <f>'6.Cons Profit &amp; Loss'!B9</f>
        <v>25323936.622074995</v>
      </c>
      <c r="D138" s="60">
        <f>'6.Cons Profit &amp; Loss'!C9</f>
        <v>30491826.05984287</v>
      </c>
      <c r="E138" s="60">
        <f>'6.Cons Profit &amp; Loss'!D9</f>
        <v>34957344.743260145</v>
      </c>
      <c r="F138" s="60">
        <f>'6.Cons Profit &amp; Loss'!E9</f>
        <v>39793185.729869537</v>
      </c>
      <c r="G138" s="60">
        <f>'6.Cons Profit &amp; Loss'!F9</f>
        <v>45025217.453281716</v>
      </c>
      <c r="H138" s="60">
        <f>'6.Cons Profit &amp; Loss'!G9</f>
        <v>50680969.384710439</v>
      </c>
      <c r="I138" s="60">
        <f>'6.Cons Profit &amp; Loss'!H9</f>
        <v>56789733.465648837</v>
      </c>
    </row>
    <row r="139" spans="2:9">
      <c r="B139" s="59" t="str">
        <f t="shared" si="17"/>
        <v>Faclitiy 3 - Warehouse</v>
      </c>
      <c r="C139" s="60">
        <f>'6.Cons Profit &amp; Loss'!B10</f>
        <v>1152000</v>
      </c>
      <c r="D139" s="60">
        <f>'6.Cons Profit &amp; Loss'!C10</f>
        <v>1285200.0000000002</v>
      </c>
      <c r="E139" s="60">
        <f>'6.Cons Profit &amp; Loss'!D10</f>
        <v>1428840.0000000002</v>
      </c>
      <c r="F139" s="60">
        <f>'6.Cons Profit &amp; Loss'!E10</f>
        <v>1583631.0000000007</v>
      </c>
      <c r="G139" s="60">
        <f>'6.Cons Profit &amp; Loss'!F10</f>
        <v>1750329.0000000009</v>
      </c>
      <c r="H139" s="60">
        <f>'6.Cons Profit &amp; Loss'!G10</f>
        <v>1837845.4500000011</v>
      </c>
      <c r="I139" s="60">
        <f>'6.Cons Profit &amp; Loss'!H10</f>
        <v>1929737.7225000013</v>
      </c>
    </row>
    <row r="140" spans="2:9">
      <c r="B140" s="59" t="str">
        <f t="shared" si="17"/>
        <v xml:space="preserve">Faclitiy 4 - Custom Hiring </v>
      </c>
      <c r="C140" s="60">
        <f>'6.Cons Profit &amp; Loss'!B11</f>
        <v>0</v>
      </c>
      <c r="D140" s="60">
        <f>'6.Cons Profit &amp; Loss'!C11</f>
        <v>0</v>
      </c>
      <c r="E140" s="60">
        <f>'6.Cons Profit &amp; Loss'!D11</f>
        <v>0</v>
      </c>
      <c r="F140" s="60">
        <f>'6.Cons Profit &amp; Loss'!E11</f>
        <v>0</v>
      </c>
      <c r="G140" s="60">
        <f>'6.Cons Profit &amp; Loss'!F11</f>
        <v>0</v>
      </c>
      <c r="H140" s="60">
        <f>'6.Cons Profit &amp; Loss'!G11</f>
        <v>0</v>
      </c>
      <c r="I140" s="60">
        <f>'6.Cons Profit &amp; Loss'!H11</f>
        <v>0</v>
      </c>
    </row>
    <row r="141" spans="2:9">
      <c r="B141" s="59" t="str">
        <f t="shared" si="17"/>
        <v>Faclitiy 5 - Agri Input Centre</v>
      </c>
      <c r="C141" s="60">
        <f>'6.Cons Profit &amp; Loss'!B12</f>
        <v>0</v>
      </c>
      <c r="D141" s="60">
        <f>'6.Cons Profit &amp; Loss'!C12</f>
        <v>0</v>
      </c>
      <c r="E141" s="60">
        <f>'6.Cons Profit &amp; Loss'!D12</f>
        <v>0</v>
      </c>
      <c r="F141" s="60">
        <f>'6.Cons Profit &amp; Loss'!E12</f>
        <v>0</v>
      </c>
      <c r="G141" s="60">
        <f>'6.Cons Profit &amp; Loss'!F12</f>
        <v>0</v>
      </c>
      <c r="H141" s="60">
        <f>'6.Cons Profit &amp; Loss'!G12</f>
        <v>0</v>
      </c>
      <c r="I141" s="60">
        <f>'6.Cons Profit &amp; Loss'!H12</f>
        <v>0</v>
      </c>
    </row>
    <row r="142" spans="2:9">
      <c r="B142" s="59" t="str">
        <f t="shared" si="17"/>
        <v>Facility 4 - Roasted Channa</v>
      </c>
      <c r="C142" s="60">
        <f>'6.Cons Profit &amp; Loss'!B13</f>
        <v>0</v>
      </c>
      <c r="D142" s="60">
        <f>'6.Cons Profit &amp; Loss'!C13</f>
        <v>0</v>
      </c>
      <c r="E142" s="60">
        <f>'6.Cons Profit &amp; Loss'!D13</f>
        <v>0</v>
      </c>
      <c r="F142" s="60">
        <f>'6.Cons Profit &amp; Loss'!E13</f>
        <v>0</v>
      </c>
      <c r="G142" s="60">
        <f>'6.Cons Profit &amp; Loss'!F13</f>
        <v>0</v>
      </c>
      <c r="H142" s="60">
        <f>'6.Cons Profit &amp; Loss'!G13</f>
        <v>0</v>
      </c>
      <c r="I142" s="60">
        <f>'6.Cons Profit &amp; Loss'!H13</f>
        <v>0</v>
      </c>
    </row>
    <row r="143" spans="2:9">
      <c r="B143" s="59">
        <f t="shared" si="17"/>
        <v>0</v>
      </c>
      <c r="C143" s="60">
        <f>'6.Cons Profit &amp; Loss'!B14</f>
        <v>0</v>
      </c>
      <c r="D143" s="60">
        <f>'6.Cons Profit &amp; Loss'!C14</f>
        <v>0</v>
      </c>
      <c r="E143" s="60">
        <f>'6.Cons Profit &amp; Loss'!D14</f>
        <v>0</v>
      </c>
      <c r="F143" s="60">
        <f>'6.Cons Profit &amp; Loss'!E14</f>
        <v>0</v>
      </c>
      <c r="G143" s="60">
        <f>'6.Cons Profit &amp; Loss'!F14</f>
        <v>0</v>
      </c>
      <c r="H143" s="60">
        <f>'6.Cons Profit &amp; Loss'!G14</f>
        <v>0</v>
      </c>
      <c r="I143" s="60">
        <f>'6.Cons Profit &amp; Loss'!H14</f>
        <v>0</v>
      </c>
    </row>
    <row r="144" spans="2:9">
      <c r="B144" s="59" t="s">
        <v>345</v>
      </c>
      <c r="C144" s="60">
        <f>SUM(C137:C143)</f>
        <v>50381994.715680987</v>
      </c>
      <c r="D144" s="60">
        <f t="shared" ref="D144:I144" si="18">SUM(D137:D143)</f>
        <v>62383071.487577915</v>
      </c>
      <c r="E144" s="60">
        <f t="shared" si="18"/>
        <v>73146467.363118902</v>
      </c>
      <c r="F144" s="60">
        <f t="shared" si="18"/>
        <v>84830245.147495031</v>
      </c>
      <c r="G144" s="60">
        <f t="shared" si="18"/>
        <v>97499534.541900963</v>
      </c>
      <c r="H144" s="60">
        <f t="shared" si="18"/>
        <v>111131784.99037878</v>
      </c>
      <c r="I144" s="60">
        <f t="shared" si="18"/>
        <v>125883511.6473496</v>
      </c>
    </row>
    <row r="145" spans="2:15">
      <c r="B145" s="59" t="s">
        <v>346</v>
      </c>
      <c r="C145" s="63"/>
      <c r="D145" s="60"/>
      <c r="E145" s="60"/>
      <c r="F145" s="60"/>
      <c r="G145" s="60"/>
      <c r="H145" s="60"/>
      <c r="I145" s="60"/>
    </row>
    <row r="146" spans="2:15">
      <c r="B146" s="59" t="s">
        <v>347</v>
      </c>
      <c r="C146" s="272">
        <f>'6.Cons Profit &amp; Loss'!B36</f>
        <v>2212000</v>
      </c>
      <c r="D146" s="272">
        <f>'6.Cons Profit &amp; Loss'!C36</f>
        <v>2322600</v>
      </c>
      <c r="E146" s="272">
        <f>'6.Cons Profit &amp; Loss'!D36</f>
        <v>2438730</v>
      </c>
      <c r="F146" s="272">
        <f>'6.Cons Profit &amp; Loss'!E36</f>
        <v>2560666.5000000005</v>
      </c>
      <c r="G146" s="272">
        <f>'6.Cons Profit &amp; Loss'!F36</f>
        <v>2688699.8250000002</v>
      </c>
      <c r="H146" s="272">
        <f>'6.Cons Profit &amp; Loss'!G36</f>
        <v>2823134.8162500006</v>
      </c>
      <c r="I146" s="272">
        <f>'6.Cons Profit &amp; Loss'!H36</f>
        <v>2964291.5570625011</v>
      </c>
    </row>
    <row r="147" spans="2:15">
      <c r="B147" s="59" t="s">
        <v>305</v>
      </c>
      <c r="C147" s="272">
        <f>'6.Cons Profit &amp; Loss'!B25*(1+$M$124)</f>
        <v>46493501.422725573</v>
      </c>
      <c r="D147" s="272">
        <f>'6.Cons Profit &amp; Loss'!C25*(1+$M$124)</f>
        <v>56794844.850167163</v>
      </c>
      <c r="E147" s="272">
        <f>'6.Cons Profit &amp; Loss'!D25*(1+$M$124)</f>
        <v>66571606.588746436</v>
      </c>
      <c r="F147" s="272">
        <f>'6.Cons Profit &amp; Loss'!E25*(1+$M$124)</f>
        <v>77184057.389058232</v>
      </c>
      <c r="G147" s="272">
        <f>'6.Cons Profit &amp; Loss'!F25*(1+$M$124)</f>
        <v>88691324.25292933</v>
      </c>
      <c r="H147" s="272">
        <f>'6.Cons Profit &amp; Loss'!G25*(1+$M$124)</f>
        <v>101156357.65971494</v>
      </c>
      <c r="I147" s="272">
        <f>'6.Cons Profit &amp; Loss'!H25*(1+$M$124)</f>
        <v>114646166.09654672</v>
      </c>
    </row>
    <row r="148" spans="2:15">
      <c r="B148" s="59" t="s">
        <v>348</v>
      </c>
      <c r="C148" s="272">
        <f t="shared" ref="C148:I148" si="19">SUM(C146:C147)</f>
        <v>48705501.422725573</v>
      </c>
      <c r="D148" s="272">
        <f t="shared" si="19"/>
        <v>59117444.850167163</v>
      </c>
      <c r="E148" s="272">
        <f t="shared" si="19"/>
        <v>69010336.588746428</v>
      </c>
      <c r="F148" s="272">
        <f t="shared" si="19"/>
        <v>79744723.889058232</v>
      </c>
      <c r="G148" s="272">
        <f t="shared" si="19"/>
        <v>91380024.077929333</v>
      </c>
      <c r="H148" s="272">
        <f t="shared" si="19"/>
        <v>103979492.47596493</v>
      </c>
      <c r="I148" s="272">
        <f t="shared" si="19"/>
        <v>117610457.65360923</v>
      </c>
    </row>
    <row r="149" spans="2:15">
      <c r="B149" s="61" t="s">
        <v>349</v>
      </c>
      <c r="C149" s="274">
        <f t="shared" ref="C149:I149" si="20">+C144-C148</f>
        <v>1676493.2929554135</v>
      </c>
      <c r="D149" s="274">
        <f t="shared" si="20"/>
        <v>3265626.6374107525</v>
      </c>
      <c r="E149" s="274">
        <f t="shared" si="20"/>
        <v>4136130.7743724734</v>
      </c>
      <c r="F149" s="274">
        <f t="shared" si="20"/>
        <v>5085521.258436799</v>
      </c>
      <c r="G149" s="274">
        <f t="shared" si="20"/>
        <v>6119510.4639716297</v>
      </c>
      <c r="H149" s="274">
        <f t="shared" si="20"/>
        <v>7152292.5144138485</v>
      </c>
      <c r="I149" s="274">
        <f t="shared" si="20"/>
        <v>8273053.9937403649</v>
      </c>
      <c r="N149" s="4"/>
      <c r="O149" s="6"/>
    </row>
    <row r="150" spans="2:15">
      <c r="B150" s="8"/>
      <c r="C150" s="62"/>
      <c r="D150" s="62"/>
      <c r="E150" s="62"/>
      <c r="F150" s="62"/>
      <c r="G150" s="62"/>
      <c r="H150" s="62"/>
      <c r="I150" s="62"/>
    </row>
    <row r="151" spans="2:15">
      <c r="B151" s="64" t="s">
        <v>351</v>
      </c>
      <c r="C151" s="65" t="s">
        <v>2</v>
      </c>
      <c r="D151" s="65" t="s">
        <v>3</v>
      </c>
      <c r="E151" s="65" t="s">
        <v>4</v>
      </c>
      <c r="F151" s="65" t="s">
        <v>5</v>
      </c>
      <c r="G151" s="65" t="s">
        <v>6</v>
      </c>
      <c r="H151" s="65" t="s">
        <v>168</v>
      </c>
      <c r="I151" s="65" t="s">
        <v>167</v>
      </c>
    </row>
    <row r="152" spans="2:15">
      <c r="B152" s="59" t="str">
        <f t="shared" ref="B152:B158" si="21">B137</f>
        <v>Activity 1 - Flour Mill</v>
      </c>
      <c r="C152" s="272">
        <f>'6.Cons Profit &amp; Loss'!B8*(1-$M$123)</f>
        <v>22710755.188925695</v>
      </c>
      <c r="D152" s="272">
        <f>'6.Cons Profit &amp; Loss'!C8*(1-$M$123)</f>
        <v>29075743.156348292</v>
      </c>
      <c r="E152" s="272">
        <f>'6.Cons Profit &amp; Loss'!D8*(1-$M$123)</f>
        <v>34922268.488865815</v>
      </c>
      <c r="F152" s="272">
        <f>'6.Cons Profit &amp; Loss'!E8*(1-$M$123)</f>
        <v>41280756.996744208</v>
      </c>
      <c r="G152" s="272">
        <f>'6.Cons Profit &amp; Loss'!F8*(1-$M$123)</f>
        <v>48187788.684188291</v>
      </c>
      <c r="H152" s="272">
        <f>'6.Cons Profit &amp; Loss'!G8*(1-$M$123)</f>
        <v>55682321.647884913</v>
      </c>
      <c r="I152" s="272">
        <f>'6.Cons Profit &amp; Loss'!H8*(1-$M$123)</f>
        <v>63805838.436240725</v>
      </c>
    </row>
    <row r="153" spans="2:15">
      <c r="B153" s="59" t="str">
        <f t="shared" si="21"/>
        <v>Activity 2 - Cleaning &amp; Grading Unit</v>
      </c>
      <c r="C153" s="272">
        <f>'6.Cons Profit &amp; Loss'!B9*(1-$M$123)</f>
        <v>24057739.790971246</v>
      </c>
      <c r="D153" s="272">
        <f>'6.Cons Profit &amp; Loss'!C9*(1-$M$123)</f>
        <v>28967234.756850723</v>
      </c>
      <c r="E153" s="272">
        <f>'6.Cons Profit &amp; Loss'!D9*(1-$M$123)</f>
        <v>33209477.506097138</v>
      </c>
      <c r="F153" s="272">
        <f>'6.Cons Profit &amp; Loss'!E9*(1-$M$123)</f>
        <v>37803526.443376057</v>
      </c>
      <c r="G153" s="272">
        <f>'6.Cons Profit &amp; Loss'!F9*(1-$M$123)</f>
        <v>42773956.580617629</v>
      </c>
      <c r="H153" s="272">
        <f>'6.Cons Profit &amp; Loss'!G9*(1-$M$123)</f>
        <v>48146920.915474914</v>
      </c>
      <c r="I153" s="272">
        <f>'6.Cons Profit &amp; Loss'!H9*(1-$M$123)</f>
        <v>53950246.792366393</v>
      </c>
    </row>
    <row r="154" spans="2:15">
      <c r="B154" s="59" t="str">
        <f t="shared" si="21"/>
        <v>Faclitiy 3 - Warehouse</v>
      </c>
      <c r="C154" s="272">
        <f>'6.Cons Profit &amp; Loss'!B10*(1-$M$123)</f>
        <v>1094400</v>
      </c>
      <c r="D154" s="272">
        <f>'6.Cons Profit &amp; Loss'!C10*(1-$M$123)</f>
        <v>1220940.0000000002</v>
      </c>
      <c r="E154" s="272">
        <f>'6.Cons Profit &amp; Loss'!D10*(1-$M$123)</f>
        <v>1357398.0000000002</v>
      </c>
      <c r="F154" s="272">
        <f>'6.Cons Profit &amp; Loss'!E10*(1-$M$123)</f>
        <v>1504449.4500000007</v>
      </c>
      <c r="G154" s="272">
        <f>'6.Cons Profit &amp; Loss'!F10*(1-$M$123)</f>
        <v>1662812.5500000007</v>
      </c>
      <c r="H154" s="272">
        <f>'6.Cons Profit &amp; Loss'!G10*(1-$M$123)</f>
        <v>1745953.1775000009</v>
      </c>
      <c r="I154" s="272">
        <f>'6.Cons Profit &amp; Loss'!H10*(1-$M$123)</f>
        <v>1833250.8363750011</v>
      </c>
    </row>
    <row r="155" spans="2:15">
      <c r="B155" s="59" t="str">
        <f t="shared" si="21"/>
        <v xml:space="preserve">Faclitiy 4 - Custom Hiring </v>
      </c>
      <c r="C155" s="272">
        <f>'6.Cons Profit &amp; Loss'!B11*(1-$M$123)</f>
        <v>0</v>
      </c>
      <c r="D155" s="272">
        <f>'6.Cons Profit &amp; Loss'!C11*(1-$M$123)</f>
        <v>0</v>
      </c>
      <c r="E155" s="272">
        <f>'6.Cons Profit &amp; Loss'!D11*(1-$M$123)</f>
        <v>0</v>
      </c>
      <c r="F155" s="272">
        <f>'6.Cons Profit &amp; Loss'!E11*(1-$M$123)</f>
        <v>0</v>
      </c>
      <c r="G155" s="272">
        <f>'6.Cons Profit &amp; Loss'!F11*(1-$M$123)</f>
        <v>0</v>
      </c>
      <c r="H155" s="272">
        <f>'6.Cons Profit &amp; Loss'!G11*(1-$M$123)</f>
        <v>0</v>
      </c>
      <c r="I155" s="272">
        <f>'6.Cons Profit &amp; Loss'!H11*(1-$M$123)</f>
        <v>0</v>
      </c>
    </row>
    <row r="156" spans="2:15">
      <c r="B156" s="59" t="str">
        <f t="shared" si="21"/>
        <v>Faclitiy 5 - Agri Input Centre</v>
      </c>
      <c r="C156" s="272">
        <f>'6.Cons Profit &amp; Loss'!B12*(1-$M$123)</f>
        <v>0</v>
      </c>
      <c r="D156" s="272">
        <f>'6.Cons Profit &amp; Loss'!C12*(1-$M$123)</f>
        <v>0</v>
      </c>
      <c r="E156" s="272">
        <f>'6.Cons Profit &amp; Loss'!D12*(1-$M$123)</f>
        <v>0</v>
      </c>
      <c r="F156" s="272">
        <f>'6.Cons Profit &amp; Loss'!E12*(1-$M$123)</f>
        <v>0</v>
      </c>
      <c r="G156" s="272">
        <f>'6.Cons Profit &amp; Loss'!F12*(1-$M$123)</f>
        <v>0</v>
      </c>
      <c r="H156" s="272">
        <f>'6.Cons Profit &amp; Loss'!G12*(1-$M$123)</f>
        <v>0</v>
      </c>
      <c r="I156" s="272">
        <f>'6.Cons Profit &amp; Loss'!H12*(1-$M$123)</f>
        <v>0</v>
      </c>
    </row>
    <row r="157" spans="2:15">
      <c r="B157" s="59" t="str">
        <f t="shared" si="21"/>
        <v>Facility 4 - Roasted Channa</v>
      </c>
      <c r="C157" s="272">
        <f>'6.Cons Profit &amp; Loss'!B13*(1-$M$123)</f>
        <v>0</v>
      </c>
      <c r="D157" s="272">
        <f>'6.Cons Profit &amp; Loss'!C13*(1-$M$123)</f>
        <v>0</v>
      </c>
      <c r="E157" s="272">
        <f>'6.Cons Profit &amp; Loss'!D13*(1-$M$123)</f>
        <v>0</v>
      </c>
      <c r="F157" s="272">
        <f>'6.Cons Profit &amp; Loss'!E13*(1-$M$123)</f>
        <v>0</v>
      </c>
      <c r="G157" s="272">
        <f>'6.Cons Profit &amp; Loss'!F13*(1-$M$123)</f>
        <v>0</v>
      </c>
      <c r="H157" s="272">
        <f>'6.Cons Profit &amp; Loss'!G13*(1-$M$123)</f>
        <v>0</v>
      </c>
      <c r="I157" s="272">
        <f>'6.Cons Profit &amp; Loss'!H13*(1-$M$123)</f>
        <v>0</v>
      </c>
    </row>
    <row r="158" spans="2:15">
      <c r="B158" s="59">
        <f t="shared" si="21"/>
        <v>0</v>
      </c>
      <c r="C158" s="272">
        <f>'6.Cons Profit &amp; Loss'!B14*(1-$M$123)</f>
        <v>0</v>
      </c>
      <c r="D158" s="272">
        <f>'6.Cons Profit &amp; Loss'!C14*(1-$M$123)</f>
        <v>0</v>
      </c>
      <c r="E158" s="272">
        <f>'6.Cons Profit &amp; Loss'!D14*(1-$M$123)</f>
        <v>0</v>
      </c>
      <c r="F158" s="272">
        <f>'6.Cons Profit &amp; Loss'!E14*(1-$M$123)</f>
        <v>0</v>
      </c>
      <c r="G158" s="272">
        <f>'6.Cons Profit &amp; Loss'!F14*(1-$M$123)</f>
        <v>0</v>
      </c>
      <c r="H158" s="272">
        <f>'6.Cons Profit &amp; Loss'!G14*(1-$M$123)</f>
        <v>0</v>
      </c>
      <c r="I158" s="272">
        <f>'6.Cons Profit &amp; Loss'!H14*(1-$M$123)</f>
        <v>0</v>
      </c>
    </row>
    <row r="159" spans="2:15">
      <c r="B159" s="59" t="s">
        <v>345</v>
      </c>
      <c r="C159" s="272">
        <f>SUM(C152:C158)</f>
        <v>47862894.97989694</v>
      </c>
      <c r="D159" s="272">
        <f t="shared" ref="D159:I159" si="22">SUM(D152:D158)</f>
        <v>59263917.913199015</v>
      </c>
      <c r="E159" s="272">
        <f t="shared" si="22"/>
        <v>69489143.99496296</v>
      </c>
      <c r="F159" s="272">
        <f t="shared" si="22"/>
        <v>80588732.890120268</v>
      </c>
      <c r="G159" s="272">
        <f t="shared" si="22"/>
        <v>92624557.81480591</v>
      </c>
      <c r="H159" s="272">
        <f t="shared" si="22"/>
        <v>105575195.74085982</v>
      </c>
      <c r="I159" s="272">
        <f t="shared" si="22"/>
        <v>119589336.06498212</v>
      </c>
    </row>
    <row r="160" spans="2:15">
      <c r="B160" s="59" t="s">
        <v>346</v>
      </c>
      <c r="C160" s="272"/>
      <c r="D160" s="272"/>
      <c r="E160" s="272"/>
      <c r="F160" s="272"/>
      <c r="G160" s="272"/>
      <c r="H160" s="272"/>
      <c r="I160" s="272"/>
    </row>
    <row r="161" spans="2:9">
      <c r="B161" s="59" t="s">
        <v>347</v>
      </c>
      <c r="C161" s="272">
        <f>'6.Cons Profit &amp; Loss'!B36</f>
        <v>2212000</v>
      </c>
      <c r="D161" s="272">
        <f>'6.Cons Profit &amp; Loss'!C36</f>
        <v>2322600</v>
      </c>
      <c r="E161" s="272">
        <f>'6.Cons Profit &amp; Loss'!D36</f>
        <v>2438730</v>
      </c>
      <c r="F161" s="272">
        <f>'6.Cons Profit &amp; Loss'!E36</f>
        <v>2560666.5000000005</v>
      </c>
      <c r="G161" s="272">
        <f>'6.Cons Profit &amp; Loss'!F36</f>
        <v>2688699.8250000002</v>
      </c>
      <c r="H161" s="272">
        <f>'6.Cons Profit &amp; Loss'!G36</f>
        <v>2823134.8162500006</v>
      </c>
      <c r="I161" s="272">
        <f>'6.Cons Profit &amp; Loss'!H36</f>
        <v>2964291.5570625011</v>
      </c>
    </row>
    <row r="162" spans="2:9">
      <c r="B162" s="59" t="s">
        <v>305</v>
      </c>
      <c r="C162" s="272">
        <f>'6.Cons Profit &amp; Loss'!B25*(1-$M$123)</f>
        <v>42065548.906275511</v>
      </c>
      <c r="D162" s="272">
        <f>'6.Cons Profit &amp; Loss'!C25*(1-$M$123)</f>
        <v>51385812.007294096</v>
      </c>
      <c r="E162" s="272">
        <f>'6.Cons Profit &amp; Loss'!D25*(1-$M$123)</f>
        <v>60231453.580294393</v>
      </c>
      <c r="F162" s="272">
        <f>'6.Cons Profit &amp; Loss'!E25*(1-$M$123)</f>
        <v>69833194.780576497</v>
      </c>
      <c r="G162" s="272">
        <f>'6.Cons Profit &amp; Loss'!F25*(1-$M$123)</f>
        <v>80244531.466936052</v>
      </c>
      <c r="H162" s="272">
        <f>'6.Cons Profit &amp; Loss'!G25*(1-$M$123)</f>
        <v>91522418.83498016</v>
      </c>
      <c r="I162" s="272">
        <f>'6.Cons Profit &amp; Loss'!H25*(1-$M$123)</f>
        <v>103727483.61116131</v>
      </c>
    </row>
    <row r="163" spans="2:9">
      <c r="B163" s="59" t="s">
        <v>348</v>
      </c>
      <c r="C163" s="272">
        <f t="shared" ref="C163:I163" si="23">SUM(C161:C162)</f>
        <v>44277548.906275511</v>
      </c>
      <c r="D163" s="272">
        <f t="shared" si="23"/>
        <v>53708412.007294096</v>
      </c>
      <c r="E163" s="272">
        <f t="shared" si="23"/>
        <v>62670183.580294393</v>
      </c>
      <c r="F163" s="272">
        <f t="shared" si="23"/>
        <v>72393861.280576497</v>
      </c>
      <c r="G163" s="272">
        <f t="shared" si="23"/>
        <v>82933231.291936055</v>
      </c>
      <c r="H163" s="272">
        <f t="shared" si="23"/>
        <v>94345553.651230156</v>
      </c>
      <c r="I163" s="272">
        <f t="shared" si="23"/>
        <v>106691775.16822381</v>
      </c>
    </row>
    <row r="164" spans="2:9">
      <c r="B164" s="61" t="s">
        <v>349</v>
      </c>
      <c r="C164" s="274">
        <f t="shared" ref="C164:I164" si="24">+C159-C163</f>
        <v>3585346.0736214295</v>
      </c>
      <c r="D164" s="274">
        <f t="shared" si="24"/>
        <v>5555505.9059049189</v>
      </c>
      <c r="E164" s="274">
        <f t="shared" si="24"/>
        <v>6818960.4146685675</v>
      </c>
      <c r="F164" s="274">
        <f t="shared" si="24"/>
        <v>8194871.6095437706</v>
      </c>
      <c r="G164" s="274">
        <f t="shared" si="24"/>
        <v>9691326.5228698552</v>
      </c>
      <c r="H164" s="274">
        <f t="shared" si="24"/>
        <v>11229642.089629665</v>
      </c>
      <c r="I164" s="274">
        <f t="shared" si="24"/>
        <v>12897560.896758303</v>
      </c>
    </row>
    <row r="165" spans="2:9">
      <c r="C165" s="62"/>
      <c r="D165" s="62"/>
      <c r="E165" s="62"/>
      <c r="F165" s="62"/>
      <c r="G165" s="62"/>
      <c r="H165" s="62"/>
      <c r="I165" s="62"/>
    </row>
    <row r="166" spans="2:9">
      <c r="B166" s="64" t="s">
        <v>352</v>
      </c>
      <c r="C166" s="65" t="s">
        <v>2</v>
      </c>
      <c r="D166" s="65" t="s">
        <v>3</v>
      </c>
      <c r="E166" s="65" t="s">
        <v>4</v>
      </c>
      <c r="F166" s="65" t="s">
        <v>5</v>
      </c>
      <c r="G166" s="65" t="s">
        <v>6</v>
      </c>
      <c r="H166" s="65" t="s">
        <v>168</v>
      </c>
      <c r="I166" s="65" t="s">
        <v>167</v>
      </c>
    </row>
    <row r="167" spans="2:9">
      <c r="B167" s="59" t="str">
        <f t="shared" ref="B167:B173" si="25">B152</f>
        <v>Activity 1 - Flour Mill</v>
      </c>
      <c r="C167" s="60">
        <f>'6.Cons Profit &amp; Loss'!B8</f>
        <v>23906058.093605995</v>
      </c>
      <c r="D167" s="60">
        <f>'6.Cons Profit &amp; Loss'!C8</f>
        <v>30606045.427735046</v>
      </c>
      <c r="E167" s="60">
        <f>'6.Cons Profit &amp; Loss'!D8</f>
        <v>36760282.619858757</v>
      </c>
      <c r="F167" s="60">
        <f>'6.Cons Profit &amp; Loss'!E8</f>
        <v>43453428.417625487</v>
      </c>
      <c r="G167" s="60">
        <f>'6.Cons Profit &amp; Loss'!F8</f>
        <v>50723988.088619255</v>
      </c>
      <c r="H167" s="60">
        <f>'6.Cons Profit &amp; Loss'!G8</f>
        <v>58612970.155668333</v>
      </c>
      <c r="I167" s="60">
        <f>'6.Cons Profit &amp; Loss'!H8</f>
        <v>67164040.45920077</v>
      </c>
    </row>
    <row r="168" spans="2:9">
      <c r="B168" s="59" t="str">
        <f t="shared" si="25"/>
        <v>Activity 2 - Cleaning &amp; Grading Unit</v>
      </c>
      <c r="C168" s="60">
        <f>'6.Cons Profit &amp; Loss'!B9</f>
        <v>25323936.622074995</v>
      </c>
      <c r="D168" s="60">
        <f>'6.Cons Profit &amp; Loss'!C9</f>
        <v>30491826.05984287</v>
      </c>
      <c r="E168" s="60">
        <f>'6.Cons Profit &amp; Loss'!D9</f>
        <v>34957344.743260145</v>
      </c>
      <c r="F168" s="60">
        <f>'6.Cons Profit &amp; Loss'!E9</f>
        <v>39793185.729869537</v>
      </c>
      <c r="G168" s="60">
        <f>'6.Cons Profit &amp; Loss'!F9</f>
        <v>45025217.453281716</v>
      </c>
      <c r="H168" s="60">
        <f>'6.Cons Profit &amp; Loss'!G9</f>
        <v>50680969.384710439</v>
      </c>
      <c r="I168" s="60">
        <f>'6.Cons Profit &amp; Loss'!H9</f>
        <v>56789733.465648837</v>
      </c>
    </row>
    <row r="169" spans="2:9">
      <c r="B169" s="59" t="str">
        <f t="shared" si="25"/>
        <v>Faclitiy 3 - Warehouse</v>
      </c>
      <c r="C169" s="60">
        <f>'6.Cons Profit &amp; Loss'!B10</f>
        <v>1152000</v>
      </c>
      <c r="D169" s="60">
        <f>'6.Cons Profit &amp; Loss'!C10</f>
        <v>1285200.0000000002</v>
      </c>
      <c r="E169" s="60">
        <f>'6.Cons Profit &amp; Loss'!D10</f>
        <v>1428840.0000000002</v>
      </c>
      <c r="F169" s="60">
        <f>'6.Cons Profit &amp; Loss'!E10</f>
        <v>1583631.0000000007</v>
      </c>
      <c r="G169" s="60">
        <f>'6.Cons Profit &amp; Loss'!F10</f>
        <v>1750329.0000000009</v>
      </c>
      <c r="H169" s="60">
        <f>'6.Cons Profit &amp; Loss'!G10</f>
        <v>1837845.4500000011</v>
      </c>
      <c r="I169" s="60">
        <f>'6.Cons Profit &amp; Loss'!H10</f>
        <v>1929737.7225000013</v>
      </c>
    </row>
    <row r="170" spans="2:9">
      <c r="B170" s="59" t="str">
        <f t="shared" si="25"/>
        <v xml:space="preserve">Faclitiy 4 - Custom Hiring </v>
      </c>
      <c r="C170" s="60">
        <f>'6.Cons Profit &amp; Loss'!B11</f>
        <v>0</v>
      </c>
      <c r="D170" s="60">
        <f>'6.Cons Profit &amp; Loss'!C11</f>
        <v>0</v>
      </c>
      <c r="E170" s="60">
        <f>'6.Cons Profit &amp; Loss'!D11</f>
        <v>0</v>
      </c>
      <c r="F170" s="60">
        <f>'6.Cons Profit &amp; Loss'!E11</f>
        <v>0</v>
      </c>
      <c r="G170" s="60">
        <f>'6.Cons Profit &amp; Loss'!F11</f>
        <v>0</v>
      </c>
      <c r="H170" s="60">
        <f>'6.Cons Profit &amp; Loss'!G11</f>
        <v>0</v>
      </c>
      <c r="I170" s="60">
        <f>'6.Cons Profit &amp; Loss'!H11</f>
        <v>0</v>
      </c>
    </row>
    <row r="171" spans="2:9">
      <c r="B171" s="59" t="str">
        <f t="shared" si="25"/>
        <v>Faclitiy 5 - Agri Input Centre</v>
      </c>
      <c r="C171" s="60">
        <f>'6.Cons Profit &amp; Loss'!B12</f>
        <v>0</v>
      </c>
      <c r="D171" s="60">
        <f>'6.Cons Profit &amp; Loss'!C12</f>
        <v>0</v>
      </c>
      <c r="E171" s="60">
        <f>'6.Cons Profit &amp; Loss'!D12</f>
        <v>0</v>
      </c>
      <c r="F171" s="60">
        <f>'6.Cons Profit &amp; Loss'!E12</f>
        <v>0</v>
      </c>
      <c r="G171" s="60">
        <f>'6.Cons Profit &amp; Loss'!F12</f>
        <v>0</v>
      </c>
      <c r="H171" s="60">
        <f>'6.Cons Profit &amp; Loss'!G12</f>
        <v>0</v>
      </c>
      <c r="I171" s="60">
        <f>'6.Cons Profit &amp; Loss'!H12</f>
        <v>0</v>
      </c>
    </row>
    <row r="172" spans="2:9">
      <c r="B172" s="59" t="str">
        <f t="shared" si="25"/>
        <v>Facility 4 - Roasted Channa</v>
      </c>
      <c r="C172" s="60">
        <f>'6.Cons Profit &amp; Loss'!B13</f>
        <v>0</v>
      </c>
      <c r="D172" s="60">
        <f>'6.Cons Profit &amp; Loss'!C13</f>
        <v>0</v>
      </c>
      <c r="E172" s="60">
        <f>'6.Cons Profit &amp; Loss'!D13</f>
        <v>0</v>
      </c>
      <c r="F172" s="60">
        <f>'6.Cons Profit &amp; Loss'!E13</f>
        <v>0</v>
      </c>
      <c r="G172" s="60">
        <f>'6.Cons Profit &amp; Loss'!F13</f>
        <v>0</v>
      </c>
      <c r="H172" s="60">
        <f>'6.Cons Profit &amp; Loss'!G13</f>
        <v>0</v>
      </c>
      <c r="I172" s="60">
        <f>'6.Cons Profit &amp; Loss'!H13</f>
        <v>0</v>
      </c>
    </row>
    <row r="173" spans="2:9">
      <c r="B173" s="59">
        <f t="shared" si="25"/>
        <v>0</v>
      </c>
      <c r="C173" s="60">
        <f>'6.Cons Profit &amp; Loss'!B14</f>
        <v>0</v>
      </c>
      <c r="D173" s="60">
        <f>'6.Cons Profit &amp; Loss'!C14</f>
        <v>0</v>
      </c>
      <c r="E173" s="60">
        <f>'6.Cons Profit &amp; Loss'!D14</f>
        <v>0</v>
      </c>
      <c r="F173" s="60">
        <f>'6.Cons Profit &amp; Loss'!E14</f>
        <v>0</v>
      </c>
      <c r="G173" s="60">
        <f>'6.Cons Profit &amp; Loss'!F14</f>
        <v>0</v>
      </c>
      <c r="H173" s="60">
        <f>'6.Cons Profit &amp; Loss'!G14</f>
        <v>0</v>
      </c>
      <c r="I173" s="60">
        <f>'6.Cons Profit &amp; Loss'!H14</f>
        <v>0</v>
      </c>
    </row>
    <row r="174" spans="2:9">
      <c r="B174" s="59" t="s">
        <v>345</v>
      </c>
      <c r="C174" s="60">
        <f>SUM(C167:C173)</f>
        <v>50381994.715680987</v>
      </c>
      <c r="D174" s="60">
        <f t="shared" ref="D174:I174" si="26">SUM(D167:D173)</f>
        <v>62383071.487577915</v>
      </c>
      <c r="E174" s="60">
        <f t="shared" si="26"/>
        <v>73146467.363118902</v>
      </c>
      <c r="F174" s="60">
        <f t="shared" si="26"/>
        <v>84830245.147495031</v>
      </c>
      <c r="G174" s="60">
        <f t="shared" si="26"/>
        <v>97499534.541900963</v>
      </c>
      <c r="H174" s="60">
        <f t="shared" si="26"/>
        <v>111131784.99037878</v>
      </c>
      <c r="I174" s="60">
        <f t="shared" si="26"/>
        <v>125883511.6473496</v>
      </c>
    </row>
    <row r="175" spans="2:9">
      <c r="B175" s="59" t="s">
        <v>346</v>
      </c>
      <c r="C175" s="60"/>
      <c r="D175" s="60"/>
      <c r="E175" s="60"/>
      <c r="F175" s="60"/>
      <c r="G175" s="60"/>
      <c r="H175" s="60"/>
      <c r="I175" s="60"/>
    </row>
    <row r="176" spans="2:9">
      <c r="B176" s="59" t="s">
        <v>347</v>
      </c>
      <c r="C176" s="60">
        <f>'6.Cons Profit &amp; Loss'!B36</f>
        <v>2212000</v>
      </c>
      <c r="D176" s="60">
        <f>'6.Cons Profit &amp; Loss'!C36</f>
        <v>2322600</v>
      </c>
      <c r="E176" s="60">
        <f>'6.Cons Profit &amp; Loss'!D36</f>
        <v>2438730</v>
      </c>
      <c r="F176" s="60">
        <f>'6.Cons Profit &amp; Loss'!E36</f>
        <v>2560666.5000000005</v>
      </c>
      <c r="G176" s="60">
        <f>'6.Cons Profit &amp; Loss'!F36</f>
        <v>2688699.8250000002</v>
      </c>
      <c r="H176" s="60">
        <f>'6.Cons Profit &amp; Loss'!G36</f>
        <v>2823134.8162500006</v>
      </c>
      <c r="I176" s="60">
        <f>'6.Cons Profit &amp; Loss'!H36</f>
        <v>2964291.5570625011</v>
      </c>
    </row>
    <row r="177" spans="2:13">
      <c r="B177" s="59" t="s">
        <v>305</v>
      </c>
      <c r="C177" s="60">
        <f>'6.Cons Profit &amp; Loss'!B25*(1-$M$124)</f>
        <v>42065548.906275511</v>
      </c>
      <c r="D177" s="60">
        <f>'6.Cons Profit &amp; Loss'!C25*(1-$M$124)</f>
        <v>51385812.007294096</v>
      </c>
      <c r="E177" s="60">
        <f>'6.Cons Profit &amp; Loss'!D25*(1-$M$124)</f>
        <v>60231453.580294393</v>
      </c>
      <c r="F177" s="60">
        <f>'6.Cons Profit &amp; Loss'!E25*(1-$M$124)</f>
        <v>69833194.780576497</v>
      </c>
      <c r="G177" s="60">
        <f>'6.Cons Profit &amp; Loss'!F25*(1-$M$124)</f>
        <v>80244531.466936052</v>
      </c>
      <c r="H177" s="60">
        <f>'6.Cons Profit &amp; Loss'!G25*(1-$M$124)</f>
        <v>91522418.83498016</v>
      </c>
      <c r="I177" s="60">
        <f>'6.Cons Profit &amp; Loss'!H25*(1-$M$124)</f>
        <v>103727483.61116131</v>
      </c>
    </row>
    <row r="178" spans="2:13">
      <c r="B178" s="59" t="s">
        <v>348</v>
      </c>
      <c r="C178" s="60">
        <f t="shared" ref="C178:I178" si="27">SUM(C176:C177)</f>
        <v>44277548.906275511</v>
      </c>
      <c r="D178" s="60">
        <f t="shared" si="27"/>
        <v>53708412.007294096</v>
      </c>
      <c r="E178" s="60">
        <f t="shared" si="27"/>
        <v>62670183.580294393</v>
      </c>
      <c r="F178" s="60">
        <f t="shared" si="27"/>
        <v>72393861.280576497</v>
      </c>
      <c r="G178" s="60">
        <f t="shared" si="27"/>
        <v>82933231.291936055</v>
      </c>
      <c r="H178" s="60">
        <f t="shared" si="27"/>
        <v>94345553.651230156</v>
      </c>
      <c r="I178" s="60">
        <f t="shared" si="27"/>
        <v>106691775.16822381</v>
      </c>
    </row>
    <row r="179" spans="2:13">
      <c r="B179" s="61" t="s">
        <v>349</v>
      </c>
      <c r="C179" s="273">
        <f t="shared" ref="C179:I179" si="28">+C174-C178</f>
        <v>6104445.8094054759</v>
      </c>
      <c r="D179" s="273">
        <f t="shared" si="28"/>
        <v>8674659.4802838191</v>
      </c>
      <c r="E179" s="273">
        <f t="shared" si="28"/>
        <v>10476283.782824509</v>
      </c>
      <c r="F179" s="273">
        <f t="shared" si="28"/>
        <v>12436383.866918534</v>
      </c>
      <c r="G179" s="273">
        <f t="shared" si="28"/>
        <v>14566303.249964908</v>
      </c>
      <c r="H179" s="273">
        <f t="shared" si="28"/>
        <v>16786231.339148626</v>
      </c>
      <c r="I179" s="273">
        <f t="shared" si="28"/>
        <v>19191736.479125783</v>
      </c>
    </row>
    <row r="181" spans="2:13" ht="41.1" customHeight="1">
      <c r="B181" s="449" t="s">
        <v>529</v>
      </c>
      <c r="C181" s="449"/>
      <c r="D181" s="449"/>
      <c r="E181" s="449"/>
      <c r="F181" s="449"/>
      <c r="G181" s="449"/>
      <c r="H181" s="449"/>
      <c r="I181" s="449"/>
      <c r="J181" s="280"/>
      <c r="K181" s="280"/>
      <c r="L181" s="280"/>
      <c r="M181" s="280"/>
    </row>
  </sheetData>
  <mergeCells count="20">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zoomScale="80" zoomScaleSheetLayoutView="80" workbookViewId="0">
      <selection sqref="A1:H1"/>
    </sheetView>
  </sheetViews>
  <sheetFormatPr defaultRowHeight="15"/>
  <cols>
    <col min="1" max="1" width="41.42578125" customWidth="1"/>
    <col min="2" max="2" width="17.7109375" customWidth="1"/>
    <col min="3" max="3" width="11.5703125" customWidth="1"/>
    <col min="4" max="4" width="11" customWidth="1"/>
    <col min="5" max="5" width="12.140625" customWidth="1"/>
    <col min="6" max="6" width="12.42578125" customWidth="1"/>
    <col min="7" max="7" width="8.85546875" customWidth="1"/>
    <col min="8" max="8" width="13" customWidth="1"/>
    <col min="9" max="9" width="5.5703125" customWidth="1"/>
    <col min="10" max="10" width="9.140625" bestFit="1" customWidth="1"/>
    <col min="11" max="11" width="7.7109375" customWidth="1"/>
    <col min="12" max="12" width="7.5703125" customWidth="1"/>
    <col min="14" max="14" width="7" customWidth="1"/>
    <col min="16" max="16" width="6.28515625" customWidth="1"/>
    <col min="21" max="21" width="5.7109375" customWidth="1"/>
    <col min="22" max="22" width="8" customWidth="1"/>
  </cols>
  <sheetData>
    <row r="1" spans="1:26" ht="18.75">
      <c r="A1" s="404" t="s">
        <v>496</v>
      </c>
      <c r="B1" s="404"/>
      <c r="C1" s="404"/>
      <c r="D1" s="404"/>
      <c r="E1" s="404"/>
      <c r="F1" s="404"/>
      <c r="G1" s="404"/>
      <c r="H1" s="404"/>
    </row>
    <row r="2" spans="1:26">
      <c r="B2" s="4"/>
    </row>
    <row r="3" spans="1:26" ht="18.75">
      <c r="A3" s="458" t="s">
        <v>556</v>
      </c>
      <c r="B3" s="458"/>
    </row>
    <row r="4" spans="1:26">
      <c r="A4" s="242" t="s">
        <v>0</v>
      </c>
      <c r="B4" s="253" t="s">
        <v>377</v>
      </c>
      <c r="C4" s="254"/>
      <c r="D4" s="254"/>
      <c r="E4" s="254"/>
      <c r="F4" s="254"/>
      <c r="G4" s="254"/>
      <c r="H4" s="254"/>
    </row>
    <row r="5" spans="1:26">
      <c r="A5" s="9" t="s">
        <v>488</v>
      </c>
      <c r="B5" s="238">
        <v>587</v>
      </c>
      <c r="D5" s="255"/>
      <c r="E5" s="255"/>
      <c r="F5" s="255"/>
      <c r="G5" s="255"/>
      <c r="H5" s="255"/>
    </row>
    <row r="6" spans="1:26">
      <c r="A6" s="9" t="s">
        <v>489</v>
      </c>
      <c r="B6" s="238">
        <v>2000</v>
      </c>
      <c r="D6" s="255"/>
      <c r="E6" s="255"/>
      <c r="F6" s="255"/>
      <c r="G6" s="255"/>
      <c r="H6" s="255"/>
    </row>
    <row r="7" spans="1:26">
      <c r="A7" s="2" t="s">
        <v>1</v>
      </c>
      <c r="B7" s="2">
        <f>B5+B6</f>
        <v>2587</v>
      </c>
      <c r="C7" s="5"/>
      <c r="D7" s="256"/>
      <c r="E7" s="256"/>
      <c r="F7" s="256"/>
      <c r="G7" s="256"/>
      <c r="H7" s="256"/>
    </row>
    <row r="8" spans="1:26">
      <c r="A8" s="2" t="s">
        <v>490</v>
      </c>
      <c r="B8" s="380">
        <v>5</v>
      </c>
      <c r="C8" s="5"/>
      <c r="D8" s="5"/>
      <c r="E8" s="5"/>
      <c r="F8" s="5"/>
      <c r="G8" s="5"/>
      <c r="H8" s="5"/>
    </row>
    <row r="9" spans="1:26">
      <c r="A9" s="2" t="s">
        <v>495</v>
      </c>
      <c r="B9" s="2">
        <f>B7*B8</f>
        <v>12935</v>
      </c>
      <c r="C9" s="256"/>
      <c r="D9" s="256"/>
      <c r="E9" s="256"/>
      <c r="F9" s="256"/>
      <c r="G9" s="256"/>
      <c r="H9" s="256"/>
    </row>
    <row r="10" spans="1:26">
      <c r="J10" t="s">
        <v>445</v>
      </c>
      <c r="O10" t="s">
        <v>441</v>
      </c>
      <c r="U10" t="s">
        <v>442</v>
      </c>
      <c r="Y10" t="s">
        <v>443</v>
      </c>
      <c r="Z10" t="s">
        <v>444</v>
      </c>
    </row>
    <row r="11" spans="1:26" ht="18.75">
      <c r="A11" s="404" t="s">
        <v>557</v>
      </c>
      <c r="B11" s="404"/>
      <c r="C11" s="404"/>
      <c r="D11" s="404"/>
      <c r="E11" s="404"/>
      <c r="F11" s="404"/>
      <c r="G11" s="404"/>
      <c r="H11" s="404"/>
      <c r="I11" s="5"/>
      <c r="J11" s="5"/>
      <c r="K11" s="5"/>
      <c r="L11" s="5"/>
      <c r="M11" s="5"/>
      <c r="N11" s="5"/>
      <c r="O11" s="5"/>
      <c r="P11" s="5"/>
    </row>
    <row r="12" spans="1:26">
      <c r="J12" s="3">
        <v>0.65</v>
      </c>
      <c r="K12" s="251">
        <f>J12+0.05</f>
        <v>0.70000000000000007</v>
      </c>
      <c r="L12" s="251">
        <f t="shared" ref="L12:N12" si="0">K12+0.05</f>
        <v>0.75000000000000011</v>
      </c>
      <c r="M12" s="251">
        <f t="shared" si="0"/>
        <v>0.80000000000000016</v>
      </c>
      <c r="N12" s="25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60">
      <c r="A13" s="242" t="s">
        <v>381</v>
      </c>
      <c r="B13" s="242" t="s">
        <v>382</v>
      </c>
      <c r="C13" s="243" t="s">
        <v>437</v>
      </c>
      <c r="D13" s="243" t="s">
        <v>446</v>
      </c>
      <c r="E13" s="243" t="s">
        <v>447</v>
      </c>
      <c r="F13" s="243" t="s">
        <v>383</v>
      </c>
      <c r="G13" s="243" t="s">
        <v>438</v>
      </c>
      <c r="H13" s="243" t="s">
        <v>384</v>
      </c>
      <c r="O13" s="250" t="s">
        <v>2</v>
      </c>
      <c r="P13" s="250" t="s">
        <v>3</v>
      </c>
      <c r="Q13" s="250" t="s">
        <v>4</v>
      </c>
      <c r="R13" s="250" t="s">
        <v>5</v>
      </c>
      <c r="S13" s="250" t="s">
        <v>6</v>
      </c>
      <c r="T13" s="250" t="s">
        <v>2</v>
      </c>
      <c r="U13" s="250" t="s">
        <v>3</v>
      </c>
      <c r="V13" s="250" t="s">
        <v>4</v>
      </c>
      <c r="W13" s="250" t="s">
        <v>5</v>
      </c>
      <c r="X13" s="250" t="s">
        <v>6</v>
      </c>
    </row>
    <row r="14" spans="1:26">
      <c r="A14" s="462" t="s">
        <v>385</v>
      </c>
      <c r="B14" s="238" t="s">
        <v>166</v>
      </c>
      <c r="C14" s="248">
        <v>0.2</v>
      </c>
      <c r="D14" s="9">
        <f t="shared" ref="D14:D22" si="3">$B$9*C14</f>
        <v>2587</v>
      </c>
      <c r="E14" s="379">
        <v>10.49</v>
      </c>
      <c r="F14" s="9">
        <f>D14*E14</f>
        <v>27137.63</v>
      </c>
      <c r="G14" s="249">
        <v>0</v>
      </c>
      <c r="H14" s="9">
        <f>(F14-F14*G14)</f>
        <v>27137.63</v>
      </c>
      <c r="J14">
        <f>$D$14*J12</f>
        <v>1681.55</v>
      </c>
      <c r="K14">
        <f>$D$14*K12</f>
        <v>1810.9</v>
      </c>
      <c r="L14">
        <f>$D$14*L12</f>
        <v>1940.2500000000002</v>
      </c>
      <c r="M14">
        <f>$D$14*M12</f>
        <v>2069.6000000000004</v>
      </c>
      <c r="N14">
        <f>$D$14*N12</f>
        <v>2198.9500000000007</v>
      </c>
    </row>
    <row r="15" spans="1:26">
      <c r="A15" s="463"/>
      <c r="B15" s="238" t="s">
        <v>468</v>
      </c>
      <c r="C15" s="248">
        <v>0.2</v>
      </c>
      <c r="D15" s="9">
        <f t="shared" si="3"/>
        <v>2587</v>
      </c>
      <c r="E15" s="239">
        <v>7</v>
      </c>
      <c r="F15" s="9">
        <f t="shared" ref="F15:F36" si="4">D15*E15</f>
        <v>18109</v>
      </c>
      <c r="G15" s="249">
        <v>0.02</v>
      </c>
      <c r="H15" s="9">
        <f>(F15-F15*G15)</f>
        <v>17746.82</v>
      </c>
    </row>
    <row r="16" spans="1:26">
      <c r="A16" s="463"/>
      <c r="B16" s="238" t="s">
        <v>467</v>
      </c>
      <c r="C16" s="248">
        <v>0</v>
      </c>
      <c r="D16" s="9">
        <f t="shared" si="3"/>
        <v>0</v>
      </c>
      <c r="E16" s="239">
        <v>4</v>
      </c>
      <c r="F16" s="9">
        <f t="shared" si="4"/>
        <v>0</v>
      </c>
      <c r="G16" s="249">
        <v>0</v>
      </c>
      <c r="H16" s="9">
        <f t="shared" ref="H16:H36" si="5">(F16-F16*G16)</f>
        <v>0</v>
      </c>
    </row>
    <row r="17" spans="1:8">
      <c r="A17" s="463"/>
      <c r="B17" s="238" t="s">
        <v>465</v>
      </c>
      <c r="C17" s="248">
        <v>0.1</v>
      </c>
      <c r="D17" s="9">
        <f t="shared" si="3"/>
        <v>1293.5</v>
      </c>
      <c r="E17" s="239">
        <v>7</v>
      </c>
      <c r="F17" s="9">
        <f t="shared" si="4"/>
        <v>9054.5</v>
      </c>
      <c r="G17" s="249">
        <v>0.02</v>
      </c>
      <c r="H17" s="9">
        <f t="shared" si="5"/>
        <v>8873.41</v>
      </c>
    </row>
    <row r="18" spans="1:8">
      <c r="A18" s="463"/>
      <c r="B18" s="238" t="s">
        <v>386</v>
      </c>
      <c r="C18" s="248">
        <v>0</v>
      </c>
      <c r="D18" s="9">
        <f t="shared" si="3"/>
        <v>0</v>
      </c>
      <c r="E18" s="239">
        <v>20</v>
      </c>
      <c r="F18" s="9">
        <f t="shared" si="4"/>
        <v>0</v>
      </c>
      <c r="G18" s="249">
        <v>0</v>
      </c>
      <c r="H18" s="9">
        <f t="shared" si="5"/>
        <v>0</v>
      </c>
    </row>
    <row r="19" spans="1:8">
      <c r="A19" s="463"/>
      <c r="B19" s="238" t="s">
        <v>466</v>
      </c>
      <c r="C19" s="248">
        <v>0.1</v>
      </c>
      <c r="D19" s="9">
        <f t="shared" si="3"/>
        <v>1293.5</v>
      </c>
      <c r="E19" s="239">
        <v>7</v>
      </c>
      <c r="F19" s="9">
        <f t="shared" si="4"/>
        <v>9054.5</v>
      </c>
      <c r="G19" s="249">
        <v>0.02</v>
      </c>
      <c r="H19" s="9">
        <f t="shared" si="5"/>
        <v>8873.41</v>
      </c>
    </row>
    <row r="20" spans="1:8">
      <c r="A20" s="463"/>
      <c r="B20" s="238" t="s">
        <v>459</v>
      </c>
      <c r="C20" s="248">
        <v>0</v>
      </c>
      <c r="D20" s="9">
        <f t="shared" si="3"/>
        <v>0</v>
      </c>
      <c r="E20" s="239">
        <v>6</v>
      </c>
      <c r="F20" s="9">
        <f t="shared" si="4"/>
        <v>0</v>
      </c>
      <c r="G20" s="249">
        <v>0.02</v>
      </c>
      <c r="H20" s="9">
        <f t="shared" si="5"/>
        <v>0</v>
      </c>
    </row>
    <row r="21" spans="1:8">
      <c r="A21" s="463"/>
      <c r="B21" s="238" t="s">
        <v>390</v>
      </c>
      <c r="C21" s="248">
        <v>0.1</v>
      </c>
      <c r="D21" s="9">
        <f t="shared" si="3"/>
        <v>1293.5</v>
      </c>
      <c r="E21" s="239">
        <v>10</v>
      </c>
      <c r="F21" s="9">
        <f t="shared" si="4"/>
        <v>12935</v>
      </c>
      <c r="G21" s="249">
        <v>0</v>
      </c>
      <c r="H21" s="9">
        <f t="shared" si="5"/>
        <v>12935</v>
      </c>
    </row>
    <row r="22" spans="1:8">
      <c r="A22" s="464"/>
      <c r="B22" s="238" t="s">
        <v>469</v>
      </c>
      <c r="C22" s="248">
        <v>0</v>
      </c>
      <c r="D22" s="9">
        <f t="shared" si="3"/>
        <v>0</v>
      </c>
      <c r="E22" s="239"/>
      <c r="F22" s="9">
        <f t="shared" si="4"/>
        <v>0</v>
      </c>
      <c r="G22" s="249">
        <v>0</v>
      </c>
      <c r="H22" s="9">
        <f t="shared" si="5"/>
        <v>0</v>
      </c>
    </row>
    <row r="23" spans="1:8">
      <c r="A23" s="258" t="s">
        <v>473</v>
      </c>
      <c r="B23" s="263">
        <v>0.6</v>
      </c>
      <c r="C23" s="265">
        <f>B9*B23</f>
        <v>7761</v>
      </c>
      <c r="D23" s="9"/>
      <c r="E23" s="239"/>
      <c r="F23" s="9"/>
      <c r="G23" s="249"/>
      <c r="H23" s="9"/>
    </row>
    <row r="24" spans="1:8">
      <c r="A24" s="462" t="s">
        <v>387</v>
      </c>
      <c r="B24" s="238" t="s">
        <v>388</v>
      </c>
      <c r="C24" s="248">
        <v>0.3</v>
      </c>
      <c r="D24" s="9">
        <f>C$23*C24</f>
        <v>2328.2999999999997</v>
      </c>
      <c r="E24" s="379">
        <v>10.4</v>
      </c>
      <c r="F24" s="9">
        <f t="shared" si="4"/>
        <v>24214.32</v>
      </c>
      <c r="G24" s="249">
        <v>0.1</v>
      </c>
      <c r="H24" s="9">
        <f t="shared" si="5"/>
        <v>21792.887999999999</v>
      </c>
    </row>
    <row r="25" spans="1:8">
      <c r="A25" s="463"/>
      <c r="B25" s="238" t="s">
        <v>389</v>
      </c>
      <c r="C25" s="248">
        <v>0.3</v>
      </c>
      <c r="D25" s="9">
        <f>C$23*C25</f>
        <v>2328.2999999999997</v>
      </c>
      <c r="E25" s="239">
        <v>8</v>
      </c>
      <c r="F25" s="9">
        <f t="shared" si="4"/>
        <v>18626.399999999998</v>
      </c>
      <c r="G25" s="249">
        <v>0.02</v>
      </c>
      <c r="H25" s="9">
        <f t="shared" si="5"/>
        <v>18253.871999999999</v>
      </c>
    </row>
    <row r="26" spans="1:8">
      <c r="A26" s="463"/>
      <c r="B26" s="238" t="s">
        <v>390</v>
      </c>
      <c r="C26" s="248">
        <v>0</v>
      </c>
      <c r="D26" s="9">
        <f>C$23*C26</f>
        <v>0</v>
      </c>
      <c r="E26" s="239">
        <v>10</v>
      </c>
      <c r="F26" s="9">
        <f t="shared" si="4"/>
        <v>0</v>
      </c>
      <c r="G26" s="249">
        <v>0.05</v>
      </c>
      <c r="H26" s="9">
        <f t="shared" si="5"/>
        <v>0</v>
      </c>
    </row>
    <row r="27" spans="1:8">
      <c r="A27" s="463"/>
      <c r="B27" s="238" t="s">
        <v>386</v>
      </c>
      <c r="C27" s="248">
        <v>0</v>
      </c>
      <c r="D27" s="9">
        <f t="shared" ref="D27:D31" si="6">C$23*C27</f>
        <v>0</v>
      </c>
      <c r="E27" s="239">
        <v>20</v>
      </c>
      <c r="F27" s="9">
        <f t="shared" si="4"/>
        <v>0</v>
      </c>
      <c r="G27" s="249">
        <v>0</v>
      </c>
      <c r="H27" s="9">
        <f t="shared" si="5"/>
        <v>0</v>
      </c>
    </row>
    <row r="28" spans="1:8">
      <c r="A28" s="463"/>
      <c r="B28" s="238" t="s">
        <v>470</v>
      </c>
      <c r="C28" s="248">
        <v>0</v>
      </c>
      <c r="D28" s="9">
        <f t="shared" si="6"/>
        <v>0</v>
      </c>
      <c r="E28" s="239"/>
      <c r="F28" s="9">
        <f t="shared" si="4"/>
        <v>0</v>
      </c>
      <c r="G28" s="249">
        <v>0</v>
      </c>
      <c r="H28" s="9">
        <f t="shared" si="5"/>
        <v>0</v>
      </c>
    </row>
    <row r="29" spans="1:8">
      <c r="A29" s="463"/>
      <c r="B29" s="238"/>
      <c r="C29" s="248">
        <v>0</v>
      </c>
      <c r="D29" s="9">
        <f t="shared" si="6"/>
        <v>0</v>
      </c>
      <c r="E29" s="239"/>
      <c r="F29" s="9">
        <f t="shared" si="4"/>
        <v>0</v>
      </c>
      <c r="G29" s="249">
        <v>0</v>
      </c>
      <c r="H29" s="9">
        <f t="shared" si="5"/>
        <v>0</v>
      </c>
    </row>
    <row r="30" spans="1:8">
      <c r="A30" s="463"/>
      <c r="B30" s="238"/>
      <c r="C30" s="248">
        <v>0</v>
      </c>
      <c r="D30" s="9">
        <f t="shared" si="6"/>
        <v>0</v>
      </c>
      <c r="E30" s="239"/>
      <c r="F30" s="9">
        <f t="shared" si="4"/>
        <v>0</v>
      </c>
      <c r="G30" s="249">
        <v>0</v>
      </c>
      <c r="H30" s="9">
        <f t="shared" si="5"/>
        <v>0</v>
      </c>
    </row>
    <row r="31" spans="1:8">
      <c r="A31" s="464"/>
      <c r="B31" s="238"/>
      <c r="C31" s="248">
        <v>0</v>
      </c>
      <c r="D31" s="9">
        <f t="shared" si="6"/>
        <v>0</v>
      </c>
      <c r="E31" s="239"/>
      <c r="F31" s="9">
        <f t="shared" si="4"/>
        <v>0</v>
      </c>
      <c r="G31" s="249">
        <v>0</v>
      </c>
      <c r="H31" s="9">
        <f t="shared" si="5"/>
        <v>0</v>
      </c>
    </row>
    <row r="32" spans="1:8">
      <c r="A32" s="258" t="s">
        <v>472</v>
      </c>
      <c r="B32" s="263">
        <v>0</v>
      </c>
      <c r="C32" s="9">
        <f>B9*B32</f>
        <v>0</v>
      </c>
      <c r="D32" s="9"/>
      <c r="E32" s="239"/>
      <c r="F32" s="9"/>
      <c r="G32" s="249"/>
      <c r="H32" s="9"/>
    </row>
    <row r="33" spans="1:13">
      <c r="A33" s="266" t="s">
        <v>450</v>
      </c>
      <c r="B33" s="238" t="s">
        <v>471</v>
      </c>
      <c r="C33" s="248">
        <v>0</v>
      </c>
      <c r="D33" s="9">
        <f>C$32*C33</f>
        <v>0</v>
      </c>
      <c r="E33" s="239"/>
      <c r="F33" s="9">
        <f t="shared" si="4"/>
        <v>0</v>
      </c>
      <c r="G33" s="249">
        <v>0</v>
      </c>
      <c r="H33" s="9">
        <f t="shared" si="5"/>
        <v>0</v>
      </c>
    </row>
    <row r="34" spans="1:13">
      <c r="A34" s="267"/>
      <c r="B34" s="238"/>
      <c r="C34" s="248">
        <v>0</v>
      </c>
      <c r="D34" s="9">
        <f>C$32*C34</f>
        <v>0</v>
      </c>
      <c r="E34" s="239"/>
      <c r="F34" s="9">
        <f t="shared" si="4"/>
        <v>0</v>
      </c>
      <c r="G34" s="249">
        <v>0</v>
      </c>
      <c r="H34" s="9">
        <f t="shared" si="5"/>
        <v>0</v>
      </c>
    </row>
    <row r="35" spans="1:13">
      <c r="A35" s="267"/>
      <c r="B35" s="238"/>
      <c r="C35" s="248">
        <v>0</v>
      </c>
      <c r="D35" s="9">
        <f>C$32*C35</f>
        <v>0</v>
      </c>
      <c r="E35" s="239"/>
      <c r="F35" s="9">
        <f t="shared" si="4"/>
        <v>0</v>
      </c>
      <c r="G35" s="249">
        <v>0</v>
      </c>
      <c r="H35" s="9">
        <f t="shared" si="5"/>
        <v>0</v>
      </c>
    </row>
    <row r="36" spans="1:13">
      <c r="A36" s="268"/>
      <c r="B36" s="238"/>
      <c r="C36" s="248">
        <v>0</v>
      </c>
      <c r="D36" s="9">
        <f>C$32*C36</f>
        <v>0</v>
      </c>
      <c r="E36" s="239"/>
      <c r="F36" s="9">
        <f t="shared" si="4"/>
        <v>0</v>
      </c>
      <c r="G36" s="249">
        <v>0</v>
      </c>
      <c r="H36" s="9">
        <f t="shared" si="5"/>
        <v>0</v>
      </c>
    </row>
    <row r="37" spans="1:13">
      <c r="A37" s="461" t="s">
        <v>391</v>
      </c>
      <c r="B37" s="461"/>
      <c r="C37" s="461"/>
      <c r="D37" s="461"/>
      <c r="E37" s="461"/>
      <c r="F37" s="461"/>
      <c r="G37" s="461"/>
      <c r="H37" s="461"/>
    </row>
    <row r="39" spans="1:13" ht="18.75">
      <c r="A39" s="465" t="s">
        <v>558</v>
      </c>
      <c r="B39" s="466"/>
      <c r="C39" s="466"/>
      <c r="D39" s="466"/>
      <c r="E39" s="466"/>
      <c r="F39" s="466"/>
      <c r="G39" s="466"/>
      <c r="H39" s="467"/>
    </row>
    <row r="40" spans="1:13">
      <c r="A40" s="468" t="s">
        <v>0</v>
      </c>
      <c r="B40" s="259">
        <v>0.5</v>
      </c>
      <c r="C40" s="259">
        <f>B40+0.05</f>
        <v>0.55000000000000004</v>
      </c>
      <c r="D40" s="259">
        <f t="shared" ref="D40:G40" si="7">C40+0.05</f>
        <v>0.60000000000000009</v>
      </c>
      <c r="E40" s="259">
        <f t="shared" si="7"/>
        <v>0.65000000000000013</v>
      </c>
      <c r="F40" s="259">
        <f t="shared" si="7"/>
        <v>0.70000000000000018</v>
      </c>
      <c r="G40" s="259">
        <f t="shared" si="7"/>
        <v>0.75000000000000022</v>
      </c>
      <c r="H40" s="259">
        <f>G40+0.05</f>
        <v>0.80000000000000027</v>
      </c>
    </row>
    <row r="41" spans="1:13">
      <c r="A41" s="469"/>
      <c r="B41" s="253" t="s">
        <v>2</v>
      </c>
      <c r="C41" s="253" t="s">
        <v>3</v>
      </c>
      <c r="D41" s="253" t="s">
        <v>4</v>
      </c>
      <c r="E41" s="253" t="s">
        <v>5</v>
      </c>
      <c r="F41" s="253" t="s">
        <v>6</v>
      </c>
      <c r="G41" s="253" t="s">
        <v>168</v>
      </c>
      <c r="H41" s="253" t="s">
        <v>167</v>
      </c>
    </row>
    <row r="42" spans="1:13">
      <c r="A42" s="9" t="str">
        <f t="shared" ref="A42:A50" si="8">B14</f>
        <v>Soybean</v>
      </c>
      <c r="B42" s="9">
        <f t="shared" ref="B42:B50" si="9">H14*$B$40</f>
        <v>13568.815000000001</v>
      </c>
      <c r="C42" s="9">
        <f t="shared" ref="C42:H51" si="10">(B42/B$40)*C$40</f>
        <v>14925.696500000002</v>
      </c>
      <c r="D42" s="9">
        <f t="shared" si="10"/>
        <v>16282.578000000003</v>
      </c>
      <c r="E42" s="9">
        <f t="shared" si="10"/>
        <v>17639.459500000004</v>
      </c>
      <c r="F42" s="9">
        <f t="shared" si="10"/>
        <v>18996.341000000004</v>
      </c>
      <c r="G42" s="9">
        <f t="shared" si="10"/>
        <v>20353.222500000003</v>
      </c>
      <c r="H42" s="9">
        <f t="shared" si="10"/>
        <v>21710.104000000007</v>
      </c>
      <c r="I42" s="323"/>
      <c r="J42" s="323"/>
      <c r="K42" s="323"/>
      <c r="L42" s="323"/>
      <c r="M42" s="323"/>
    </row>
    <row r="43" spans="1:13">
      <c r="A43" s="9" t="str">
        <f t="shared" si="8"/>
        <v>Red Gram/Tur</v>
      </c>
      <c r="B43" s="9">
        <f t="shared" si="9"/>
        <v>8873.41</v>
      </c>
      <c r="C43" s="9">
        <f t="shared" si="10"/>
        <v>9760.7510000000002</v>
      </c>
      <c r="D43" s="9">
        <f t="shared" si="10"/>
        <v>10648.092000000001</v>
      </c>
      <c r="E43" s="9">
        <f t="shared" si="10"/>
        <v>11535.433000000003</v>
      </c>
      <c r="F43" s="9">
        <f t="shared" si="10"/>
        <v>12422.774000000003</v>
      </c>
      <c r="G43" s="9">
        <f t="shared" si="10"/>
        <v>13310.115000000003</v>
      </c>
      <c r="H43" s="9">
        <f t="shared" si="10"/>
        <v>14197.456000000004</v>
      </c>
      <c r="I43" s="323"/>
      <c r="J43" s="323"/>
      <c r="K43" s="323"/>
      <c r="L43" s="323"/>
      <c r="M43" s="323"/>
    </row>
    <row r="44" spans="1:13" hidden="1">
      <c r="A44" s="9" t="str">
        <f t="shared" si="8"/>
        <v>Paddy/Rice</v>
      </c>
      <c r="B44" s="9">
        <f t="shared" si="9"/>
        <v>0</v>
      </c>
      <c r="C44" s="9">
        <f t="shared" si="10"/>
        <v>0</v>
      </c>
      <c r="D44" s="9">
        <f t="shared" si="10"/>
        <v>0</v>
      </c>
      <c r="E44" s="9">
        <f t="shared" si="10"/>
        <v>0</v>
      </c>
      <c r="F44" s="9">
        <f t="shared" si="10"/>
        <v>0</v>
      </c>
      <c r="G44" s="9">
        <f t="shared" si="10"/>
        <v>0</v>
      </c>
      <c r="H44" s="9">
        <f t="shared" si="10"/>
        <v>0</v>
      </c>
      <c r="I44" s="323"/>
      <c r="J44" s="323"/>
      <c r="K44" s="323"/>
      <c r="L44" s="323"/>
      <c r="M44" s="323"/>
    </row>
    <row r="45" spans="1:13">
      <c r="A45" s="9" t="str">
        <f t="shared" si="8"/>
        <v>Green Gram/ Moong</v>
      </c>
      <c r="B45" s="9">
        <f t="shared" si="9"/>
        <v>4436.7049999999999</v>
      </c>
      <c r="C45" s="9">
        <f t="shared" si="10"/>
        <v>4880.3755000000001</v>
      </c>
      <c r="D45" s="9">
        <f t="shared" si="10"/>
        <v>5324.0460000000003</v>
      </c>
      <c r="E45" s="9">
        <f t="shared" si="10"/>
        <v>5767.7165000000014</v>
      </c>
      <c r="F45" s="9">
        <f t="shared" si="10"/>
        <v>6211.3870000000015</v>
      </c>
      <c r="G45" s="9">
        <f t="shared" si="10"/>
        <v>6655.0575000000017</v>
      </c>
      <c r="H45" s="9">
        <f t="shared" si="10"/>
        <v>7098.7280000000019</v>
      </c>
      <c r="I45" s="323"/>
      <c r="J45" s="323"/>
      <c r="K45" s="323"/>
      <c r="L45" s="323"/>
      <c r="M45" s="323"/>
    </row>
    <row r="46" spans="1:13" hidden="1">
      <c r="A46" s="9" t="str">
        <f t="shared" si="8"/>
        <v>Maize</v>
      </c>
      <c r="B46" s="9">
        <f t="shared" si="9"/>
        <v>0</v>
      </c>
      <c r="C46" s="9">
        <f t="shared" si="10"/>
        <v>0</v>
      </c>
      <c r="D46" s="9">
        <f t="shared" si="10"/>
        <v>0</v>
      </c>
      <c r="E46" s="9">
        <f t="shared" si="10"/>
        <v>0</v>
      </c>
      <c r="F46" s="9">
        <f t="shared" si="10"/>
        <v>0</v>
      </c>
      <c r="G46" s="9">
        <f t="shared" si="10"/>
        <v>0</v>
      </c>
      <c r="H46" s="9">
        <f t="shared" si="10"/>
        <v>0</v>
      </c>
      <c r="I46" s="323"/>
      <c r="J46" s="323"/>
      <c r="K46" s="323"/>
      <c r="L46" s="323"/>
      <c r="M46" s="323"/>
    </row>
    <row r="47" spans="1:13">
      <c r="A47" s="9" t="str">
        <f t="shared" si="8"/>
        <v>Black Gram/Udid</v>
      </c>
      <c r="B47" s="9">
        <f t="shared" si="9"/>
        <v>4436.7049999999999</v>
      </c>
      <c r="C47" s="9">
        <f t="shared" si="10"/>
        <v>4880.3755000000001</v>
      </c>
      <c r="D47" s="9">
        <f t="shared" si="10"/>
        <v>5324.0460000000003</v>
      </c>
      <c r="E47" s="9">
        <f t="shared" si="10"/>
        <v>5767.7165000000014</v>
      </c>
      <c r="F47" s="9">
        <f t="shared" si="10"/>
        <v>6211.3870000000015</v>
      </c>
      <c r="G47" s="9">
        <f t="shared" si="10"/>
        <v>6655.0575000000017</v>
      </c>
      <c r="H47" s="9">
        <f t="shared" si="10"/>
        <v>7098.7280000000019</v>
      </c>
      <c r="I47" s="323"/>
      <c r="J47" s="323"/>
      <c r="K47" s="323"/>
      <c r="L47" s="323"/>
      <c r="M47" s="323"/>
    </row>
    <row r="48" spans="1:13" hidden="1">
      <c r="A48" s="9" t="str">
        <f t="shared" si="8"/>
        <v>Bajra</v>
      </c>
      <c r="B48" s="9">
        <f t="shared" si="9"/>
        <v>0</v>
      </c>
      <c r="C48" s="9">
        <f t="shared" si="10"/>
        <v>0</v>
      </c>
      <c r="D48" s="9">
        <f t="shared" si="10"/>
        <v>0</v>
      </c>
      <c r="E48" s="9">
        <f t="shared" si="10"/>
        <v>0</v>
      </c>
      <c r="F48" s="9">
        <f t="shared" si="10"/>
        <v>0</v>
      </c>
      <c r="G48" s="9">
        <f t="shared" si="10"/>
        <v>0</v>
      </c>
      <c r="H48" s="9">
        <f t="shared" si="10"/>
        <v>0</v>
      </c>
      <c r="I48" s="323"/>
      <c r="J48" s="323"/>
      <c r="K48" s="323"/>
      <c r="L48" s="323"/>
      <c r="M48" s="323"/>
    </row>
    <row r="49" spans="1:13" hidden="1">
      <c r="A49" s="9" t="str">
        <f t="shared" si="8"/>
        <v>Jawar</v>
      </c>
      <c r="B49" s="9">
        <f>H21*$B$40*0</f>
        <v>0</v>
      </c>
      <c r="C49" s="9">
        <f t="shared" si="10"/>
        <v>0</v>
      </c>
      <c r="D49" s="9">
        <f t="shared" si="10"/>
        <v>0</v>
      </c>
      <c r="E49" s="9">
        <f t="shared" si="10"/>
        <v>0</v>
      </c>
      <c r="F49" s="9">
        <f t="shared" si="10"/>
        <v>0</v>
      </c>
      <c r="G49" s="9">
        <f t="shared" si="10"/>
        <v>0</v>
      </c>
      <c r="H49" s="9">
        <f t="shared" si="10"/>
        <v>0</v>
      </c>
      <c r="I49" s="323"/>
      <c r="J49" s="323"/>
      <c r="K49" s="323"/>
      <c r="L49" s="323"/>
      <c r="M49" s="323"/>
    </row>
    <row r="50" spans="1:13" hidden="1">
      <c r="A50" s="9" t="str">
        <f t="shared" si="8"/>
        <v>Sunflower</v>
      </c>
      <c r="B50" s="9">
        <f t="shared" si="9"/>
        <v>0</v>
      </c>
      <c r="C50" s="9">
        <f t="shared" si="10"/>
        <v>0</v>
      </c>
      <c r="D50" s="9">
        <f t="shared" si="10"/>
        <v>0</v>
      </c>
      <c r="E50" s="9">
        <f t="shared" si="10"/>
        <v>0</v>
      </c>
      <c r="F50" s="9">
        <f t="shared" si="10"/>
        <v>0</v>
      </c>
      <c r="G50" s="9">
        <f t="shared" si="10"/>
        <v>0</v>
      </c>
      <c r="H50" s="9">
        <f t="shared" si="10"/>
        <v>0</v>
      </c>
      <c r="I50" s="323"/>
      <c r="J50" s="323"/>
      <c r="K50" s="323"/>
      <c r="L50" s="323"/>
      <c r="M50" s="323"/>
    </row>
    <row r="51" spans="1:13" hidden="1">
      <c r="A51" s="9" t="str">
        <f t="shared" ref="A51:A58" si="11">B24</f>
        <v>Wheat</v>
      </c>
      <c r="B51" s="9">
        <f>H24*$B$40*0</f>
        <v>0</v>
      </c>
      <c r="C51" s="9">
        <f t="shared" si="10"/>
        <v>0</v>
      </c>
      <c r="D51" s="9">
        <f t="shared" si="10"/>
        <v>0</v>
      </c>
      <c r="E51" s="9">
        <f t="shared" si="10"/>
        <v>0</v>
      </c>
      <c r="F51" s="9">
        <f t="shared" si="10"/>
        <v>0</v>
      </c>
      <c r="G51" s="9">
        <f t="shared" si="10"/>
        <v>0</v>
      </c>
      <c r="H51" s="9">
        <f t="shared" si="10"/>
        <v>0</v>
      </c>
      <c r="I51" s="323"/>
      <c r="J51" s="323"/>
      <c r="K51" s="323"/>
      <c r="L51" s="323"/>
      <c r="M51" s="323"/>
    </row>
    <row r="52" spans="1:13">
      <c r="A52" s="9" t="str">
        <f t="shared" si="11"/>
        <v>Bengal Gram/Channa</v>
      </c>
      <c r="B52" s="9">
        <f t="shared" ref="B52:B58" si="12">H25*$B$40</f>
        <v>9126.9359999999997</v>
      </c>
      <c r="C52" s="9">
        <f t="shared" ref="C52:H61" si="13">(B52/B$40)*C$40</f>
        <v>10039.6296</v>
      </c>
      <c r="D52" s="9">
        <f t="shared" si="13"/>
        <v>10952.323200000001</v>
      </c>
      <c r="E52" s="9">
        <f t="shared" si="13"/>
        <v>11865.016800000001</v>
      </c>
      <c r="F52" s="9">
        <f t="shared" si="13"/>
        <v>12777.710400000004</v>
      </c>
      <c r="G52" s="9">
        <f t="shared" si="13"/>
        <v>13690.404000000004</v>
      </c>
      <c r="H52" s="9">
        <f t="shared" si="13"/>
        <v>14603.097600000005</v>
      </c>
      <c r="I52" s="323"/>
      <c r="J52" s="323"/>
      <c r="K52" s="323"/>
      <c r="L52" s="323"/>
      <c r="M52" s="323"/>
    </row>
    <row r="53" spans="1:13" hidden="1">
      <c r="A53" s="9" t="str">
        <f t="shared" si="11"/>
        <v>Jawar</v>
      </c>
      <c r="B53" s="9">
        <f t="shared" si="12"/>
        <v>0</v>
      </c>
      <c r="C53" s="9">
        <f t="shared" si="13"/>
        <v>0</v>
      </c>
      <c r="D53" s="9">
        <f t="shared" si="13"/>
        <v>0</v>
      </c>
      <c r="E53" s="9">
        <f t="shared" si="13"/>
        <v>0</v>
      </c>
      <c r="F53" s="9">
        <f t="shared" si="13"/>
        <v>0</v>
      </c>
      <c r="G53" s="9">
        <f t="shared" si="13"/>
        <v>0</v>
      </c>
      <c r="H53" s="9">
        <f t="shared" si="13"/>
        <v>0</v>
      </c>
    </row>
    <row r="54" spans="1:13" hidden="1">
      <c r="A54" s="9" t="str">
        <f t="shared" si="11"/>
        <v>Maize</v>
      </c>
      <c r="B54" s="9">
        <f t="shared" si="12"/>
        <v>0</v>
      </c>
      <c r="C54" s="9">
        <f t="shared" si="13"/>
        <v>0</v>
      </c>
      <c r="D54" s="9">
        <f t="shared" si="13"/>
        <v>0</v>
      </c>
      <c r="E54" s="9">
        <f t="shared" si="13"/>
        <v>0</v>
      </c>
      <c r="F54" s="9">
        <f t="shared" si="13"/>
        <v>0</v>
      </c>
      <c r="G54" s="9">
        <f t="shared" si="13"/>
        <v>0</v>
      </c>
      <c r="H54" s="9">
        <f t="shared" si="13"/>
        <v>0</v>
      </c>
    </row>
    <row r="55" spans="1:13" hidden="1">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13" hidden="1">
      <c r="A56" s="9">
        <f t="shared" si="11"/>
        <v>0</v>
      </c>
      <c r="B56" s="9">
        <f t="shared" si="12"/>
        <v>0</v>
      </c>
      <c r="C56" s="9">
        <f t="shared" si="13"/>
        <v>0</v>
      </c>
      <c r="D56" s="9">
        <f t="shared" si="13"/>
        <v>0</v>
      </c>
      <c r="E56" s="9">
        <f t="shared" si="13"/>
        <v>0</v>
      </c>
      <c r="F56" s="9">
        <f t="shared" si="13"/>
        <v>0</v>
      </c>
      <c r="G56" s="9">
        <f t="shared" si="13"/>
        <v>0</v>
      </c>
      <c r="H56" s="9">
        <f t="shared" si="13"/>
        <v>0</v>
      </c>
    </row>
    <row r="57" spans="1:13" hidden="1">
      <c r="A57" s="9">
        <f t="shared" si="11"/>
        <v>0</v>
      </c>
      <c r="B57" s="9">
        <f t="shared" si="12"/>
        <v>0</v>
      </c>
      <c r="C57" s="9">
        <f t="shared" si="13"/>
        <v>0</v>
      </c>
      <c r="D57" s="9">
        <f t="shared" si="13"/>
        <v>0</v>
      </c>
      <c r="E57" s="9">
        <f t="shared" si="13"/>
        <v>0</v>
      </c>
      <c r="F57" s="9">
        <f t="shared" si="13"/>
        <v>0</v>
      </c>
      <c r="G57" s="9">
        <f t="shared" si="13"/>
        <v>0</v>
      </c>
      <c r="H57" s="9">
        <f t="shared" si="13"/>
        <v>0</v>
      </c>
    </row>
    <row r="58" spans="1:13" hidden="1">
      <c r="A58" s="9">
        <f t="shared" si="11"/>
        <v>0</v>
      </c>
      <c r="B58" s="9">
        <f t="shared" si="12"/>
        <v>0</v>
      </c>
      <c r="C58" s="9">
        <f t="shared" si="13"/>
        <v>0</v>
      </c>
      <c r="D58" s="9">
        <f t="shared" si="13"/>
        <v>0</v>
      </c>
      <c r="E58" s="9">
        <f t="shared" si="13"/>
        <v>0</v>
      </c>
      <c r="F58" s="9">
        <f t="shared" si="13"/>
        <v>0</v>
      </c>
      <c r="G58" s="9">
        <f t="shared" si="13"/>
        <v>0</v>
      </c>
      <c r="H58" s="9">
        <f t="shared" si="13"/>
        <v>0</v>
      </c>
    </row>
    <row r="59" spans="1:13" hidden="1">
      <c r="A59" s="9" t="str">
        <f>B33</f>
        <v>Groundnut</v>
      </c>
      <c r="B59" s="9">
        <f>H33*$B$40</f>
        <v>0</v>
      </c>
      <c r="C59" s="9">
        <f t="shared" si="13"/>
        <v>0</v>
      </c>
      <c r="D59" s="9">
        <f t="shared" si="13"/>
        <v>0</v>
      </c>
      <c r="E59" s="9">
        <f t="shared" si="13"/>
        <v>0</v>
      </c>
      <c r="F59" s="9">
        <f t="shared" si="13"/>
        <v>0</v>
      </c>
      <c r="G59" s="9">
        <f t="shared" si="13"/>
        <v>0</v>
      </c>
      <c r="H59" s="9">
        <f t="shared" si="13"/>
        <v>0</v>
      </c>
    </row>
    <row r="60" spans="1:13" hidden="1">
      <c r="A60" s="9">
        <f>B34</f>
        <v>0</v>
      </c>
      <c r="B60" s="9">
        <f>H34*$B$40</f>
        <v>0</v>
      </c>
      <c r="C60" s="9">
        <f t="shared" si="13"/>
        <v>0</v>
      </c>
      <c r="D60" s="9">
        <f t="shared" si="13"/>
        <v>0</v>
      </c>
      <c r="E60" s="9">
        <f t="shared" si="13"/>
        <v>0</v>
      </c>
      <c r="F60" s="9">
        <f t="shared" si="13"/>
        <v>0</v>
      </c>
      <c r="G60" s="9">
        <f t="shared" si="13"/>
        <v>0</v>
      </c>
      <c r="H60" s="9">
        <f t="shared" si="13"/>
        <v>0</v>
      </c>
    </row>
    <row r="61" spans="1:13" hidden="1">
      <c r="A61" s="9">
        <f>B35</f>
        <v>0</v>
      </c>
      <c r="B61" s="9">
        <f>H35*$B$40</f>
        <v>0</v>
      </c>
      <c r="C61" s="9">
        <f t="shared" si="13"/>
        <v>0</v>
      </c>
      <c r="D61" s="9">
        <f t="shared" si="13"/>
        <v>0</v>
      </c>
      <c r="E61" s="9">
        <f t="shared" si="13"/>
        <v>0</v>
      </c>
      <c r="F61" s="9">
        <f t="shared" si="13"/>
        <v>0</v>
      </c>
      <c r="G61" s="9">
        <f t="shared" si="13"/>
        <v>0</v>
      </c>
      <c r="H61" s="9">
        <f t="shared" si="13"/>
        <v>0</v>
      </c>
    </row>
    <row r="62" spans="1:13" hidden="1">
      <c r="A62" s="9">
        <f>B36</f>
        <v>0</v>
      </c>
      <c r="B62" s="9">
        <f>H36*$B$40</f>
        <v>0</v>
      </c>
      <c r="C62" s="9">
        <f t="shared" ref="C62:H62" si="14">(B62/B$40)*C$40</f>
        <v>0</v>
      </c>
      <c r="D62" s="9">
        <f t="shared" si="14"/>
        <v>0</v>
      </c>
      <c r="E62" s="9">
        <f t="shared" si="14"/>
        <v>0</v>
      </c>
      <c r="F62" s="9">
        <f t="shared" si="14"/>
        <v>0</v>
      </c>
      <c r="G62" s="9">
        <f t="shared" si="14"/>
        <v>0</v>
      </c>
      <c r="H62" s="9">
        <f t="shared" si="14"/>
        <v>0</v>
      </c>
    </row>
    <row r="64" spans="1:13" ht="18.75">
      <c r="A64" s="470" t="s">
        <v>559</v>
      </c>
      <c r="B64" s="471"/>
      <c r="C64" s="471"/>
      <c r="D64" s="471"/>
      <c r="E64" s="471"/>
      <c r="F64" s="471"/>
      <c r="G64" s="471"/>
      <c r="H64" s="472"/>
    </row>
    <row r="65" spans="1:13">
      <c r="A65" s="473" t="s">
        <v>0</v>
      </c>
      <c r="B65" s="260">
        <v>0.3</v>
      </c>
      <c r="C65" s="260">
        <f>B65+0.05</f>
        <v>0.35</v>
      </c>
      <c r="D65" s="260">
        <f t="shared" ref="D65:G65" si="15">C65+0.05</f>
        <v>0.39999999999999997</v>
      </c>
      <c r="E65" s="260">
        <f t="shared" si="15"/>
        <v>0.44999999999999996</v>
      </c>
      <c r="F65" s="260">
        <f t="shared" si="15"/>
        <v>0.49999999999999994</v>
      </c>
      <c r="G65" s="260">
        <f t="shared" si="15"/>
        <v>0.54999999999999993</v>
      </c>
      <c r="H65" s="260">
        <f>G65+0.05</f>
        <v>0.6</v>
      </c>
    </row>
    <row r="66" spans="1:13">
      <c r="A66" s="474"/>
      <c r="B66" s="253" t="s">
        <v>2</v>
      </c>
      <c r="C66" s="253" t="s">
        <v>3</v>
      </c>
      <c r="D66" s="253" t="s">
        <v>4</v>
      </c>
      <c r="E66" s="253" t="s">
        <v>5</v>
      </c>
      <c r="F66" s="253" t="s">
        <v>6</v>
      </c>
      <c r="G66" s="253" t="s">
        <v>168</v>
      </c>
      <c r="H66" s="253" t="s">
        <v>167</v>
      </c>
    </row>
    <row r="67" spans="1:13" hidden="1">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13" hidden="1">
      <c r="A68" s="9" t="str">
        <f t="shared" si="16"/>
        <v>Red Gram/Tur</v>
      </c>
      <c r="B68" s="9">
        <f>H15*$B$65*0</f>
        <v>0</v>
      </c>
      <c r="C68" s="9">
        <f>(B68/B$65)*C$65</f>
        <v>0</v>
      </c>
      <c r="D68" s="9">
        <f t="shared" si="17"/>
        <v>0</v>
      </c>
      <c r="E68" s="9">
        <f t="shared" si="17"/>
        <v>0</v>
      </c>
      <c r="F68" s="9">
        <f t="shared" si="17"/>
        <v>0</v>
      </c>
      <c r="G68" s="9">
        <f t="shared" si="17"/>
        <v>0</v>
      </c>
      <c r="H68" s="9">
        <f t="shared" si="17"/>
        <v>0</v>
      </c>
    </row>
    <row r="69" spans="1:13" hidden="1">
      <c r="A69" s="9" t="str">
        <f t="shared" si="16"/>
        <v>Paddy/Rice</v>
      </c>
      <c r="B69" s="9">
        <f t="shared" ref="B69:B75" si="18">H16*$B$65</f>
        <v>0</v>
      </c>
      <c r="C69" s="9">
        <f t="shared" ref="C69:H69" si="19">(B69/B$65)*C$65</f>
        <v>0</v>
      </c>
      <c r="D69" s="9">
        <f t="shared" si="19"/>
        <v>0</v>
      </c>
      <c r="E69" s="9">
        <f t="shared" si="19"/>
        <v>0</v>
      </c>
      <c r="F69" s="9">
        <f t="shared" si="19"/>
        <v>0</v>
      </c>
      <c r="G69" s="9">
        <f t="shared" si="19"/>
        <v>0</v>
      </c>
      <c r="H69" s="9">
        <f t="shared" si="19"/>
        <v>0</v>
      </c>
    </row>
    <row r="70" spans="1:13" hidden="1">
      <c r="A70" s="9" t="str">
        <f t="shared" si="16"/>
        <v>Green Gram/ Moong</v>
      </c>
      <c r="B70" s="9">
        <f>H17*$B$65*0</f>
        <v>0</v>
      </c>
      <c r="C70" s="9">
        <f t="shared" ref="C70:H70" si="20">(B70/B$65)*C$65</f>
        <v>0</v>
      </c>
      <c r="D70" s="9">
        <f t="shared" si="20"/>
        <v>0</v>
      </c>
      <c r="E70" s="9">
        <f t="shared" si="20"/>
        <v>0</v>
      </c>
      <c r="F70" s="9">
        <f t="shared" si="20"/>
        <v>0</v>
      </c>
      <c r="G70" s="9">
        <f t="shared" si="20"/>
        <v>0</v>
      </c>
      <c r="H70" s="9">
        <f t="shared" si="20"/>
        <v>0</v>
      </c>
    </row>
    <row r="71" spans="1:13" hidden="1">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13" hidden="1">
      <c r="A72" s="9" t="str">
        <f t="shared" si="16"/>
        <v>Black Gram/Udid</v>
      </c>
      <c r="B72" s="9">
        <f>H19*$B$65*0</f>
        <v>0</v>
      </c>
      <c r="C72" s="9">
        <f t="shared" ref="C72:H72" si="22">(B72/B$65)*C$65</f>
        <v>0</v>
      </c>
      <c r="D72" s="9">
        <f t="shared" si="22"/>
        <v>0</v>
      </c>
      <c r="E72" s="9">
        <f t="shared" si="22"/>
        <v>0</v>
      </c>
      <c r="F72" s="9">
        <f t="shared" si="22"/>
        <v>0</v>
      </c>
      <c r="G72" s="9">
        <f t="shared" si="22"/>
        <v>0</v>
      </c>
      <c r="H72" s="9">
        <f t="shared" si="22"/>
        <v>0</v>
      </c>
    </row>
    <row r="73" spans="1:13" hidden="1">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13">
      <c r="A74" s="9" t="str">
        <f t="shared" si="16"/>
        <v>Jawar</v>
      </c>
      <c r="B74" s="9">
        <f t="shared" si="18"/>
        <v>3880.5</v>
      </c>
      <c r="C74" s="9">
        <f t="shared" ref="C74:H74" si="24">(B74/B$65)*C$65</f>
        <v>4527.25</v>
      </c>
      <c r="D74" s="9">
        <f t="shared" si="24"/>
        <v>5174</v>
      </c>
      <c r="E74" s="9">
        <f t="shared" si="24"/>
        <v>5820.75</v>
      </c>
      <c r="F74" s="9">
        <f t="shared" si="24"/>
        <v>6467.5</v>
      </c>
      <c r="G74" s="9">
        <f t="shared" si="24"/>
        <v>7114.25</v>
      </c>
      <c r="H74" s="9">
        <f t="shared" si="24"/>
        <v>7761.0000000000009</v>
      </c>
      <c r="I74" s="323"/>
      <c r="J74" s="323"/>
      <c r="K74" s="323"/>
      <c r="L74" s="323"/>
      <c r="M74" s="323"/>
    </row>
    <row r="75" spans="1:13" hidden="1">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13">
      <c r="A76" s="9" t="str">
        <f t="shared" si="16"/>
        <v>Wheat</v>
      </c>
      <c r="B76" s="9">
        <f t="shared" ref="B76:B83" si="26">H24*$B$65</f>
        <v>6537.8663999999999</v>
      </c>
      <c r="C76" s="9">
        <f t="shared" ref="C76:H76" si="27">(B76/B$65)*C$65</f>
        <v>7627.5107999999991</v>
      </c>
      <c r="D76" s="9">
        <f t="shared" si="27"/>
        <v>8717.1551999999992</v>
      </c>
      <c r="E76" s="9">
        <f t="shared" si="27"/>
        <v>9806.7995999999985</v>
      </c>
      <c r="F76" s="9">
        <f t="shared" si="27"/>
        <v>10896.443999999998</v>
      </c>
      <c r="G76" s="9">
        <f t="shared" si="27"/>
        <v>11986.088399999999</v>
      </c>
      <c r="H76" s="9">
        <f t="shared" si="27"/>
        <v>13075.7328</v>
      </c>
      <c r="I76" s="323"/>
      <c r="J76" s="323"/>
      <c r="K76" s="323"/>
      <c r="L76" s="323"/>
      <c r="M76" s="323"/>
    </row>
    <row r="77" spans="1:13">
      <c r="A77" s="9" t="str">
        <f t="shared" si="16"/>
        <v>Bengal Gram/Channa</v>
      </c>
      <c r="B77" s="9"/>
      <c r="C77" s="9">
        <f t="shared" ref="C77:H77" si="28">(B77/B$65)*C$65</f>
        <v>0</v>
      </c>
      <c r="D77" s="9">
        <f t="shared" si="28"/>
        <v>0</v>
      </c>
      <c r="E77" s="9">
        <f t="shared" si="28"/>
        <v>0</v>
      </c>
      <c r="F77" s="9">
        <f t="shared" si="28"/>
        <v>0</v>
      </c>
      <c r="G77" s="9">
        <f t="shared" si="28"/>
        <v>0</v>
      </c>
      <c r="H77" s="9">
        <f t="shared" si="28"/>
        <v>0</v>
      </c>
    </row>
    <row r="78" spans="1:13" hidden="1">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13" hidden="1">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13" hidden="1">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8" hidden="1">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8" hidden="1">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8" hidden="1">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8" hidden="1">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8" hidden="1">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8" hidden="1">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8" hidden="1">
      <c r="A87" s="9">
        <f t="shared" si="16"/>
        <v>0</v>
      </c>
      <c r="B87" s="9">
        <f>H36*$B$65</f>
        <v>0</v>
      </c>
      <c r="C87" s="9">
        <f t="shared" ref="C87:H87" si="38">(B87/B$65)*C$65</f>
        <v>0</v>
      </c>
      <c r="D87" s="9">
        <f t="shared" si="38"/>
        <v>0</v>
      </c>
      <c r="E87" s="9">
        <f t="shared" si="38"/>
        <v>0</v>
      </c>
      <c r="F87" s="9">
        <f t="shared" si="38"/>
        <v>0</v>
      </c>
      <c r="G87" s="9">
        <f t="shared" si="38"/>
        <v>0</v>
      </c>
      <c r="H87" s="9">
        <f t="shared" si="38"/>
        <v>0</v>
      </c>
    </row>
    <row r="89" spans="1:8">
      <c r="A89" s="475" t="s">
        <v>560</v>
      </c>
      <c r="B89" s="476"/>
      <c r="C89" s="476"/>
      <c r="D89" s="476"/>
      <c r="E89" s="476"/>
      <c r="F89" s="476"/>
      <c r="G89" s="476"/>
      <c r="H89" s="477"/>
    </row>
    <row r="90" spans="1:8">
      <c r="A90" s="459" t="s">
        <v>0</v>
      </c>
      <c r="B90" s="278">
        <v>0.65</v>
      </c>
      <c r="C90" s="279">
        <f>B90+0.05</f>
        <v>0.70000000000000007</v>
      </c>
      <c r="D90" s="279">
        <f t="shared" ref="D90:G90" si="39">C90+0.05</f>
        <v>0.75000000000000011</v>
      </c>
      <c r="E90" s="279">
        <f t="shared" si="39"/>
        <v>0.80000000000000016</v>
      </c>
      <c r="F90" s="279">
        <f t="shared" si="39"/>
        <v>0.8500000000000002</v>
      </c>
      <c r="G90" s="279">
        <f t="shared" si="39"/>
        <v>0.90000000000000024</v>
      </c>
      <c r="H90" s="279">
        <f>G90+0.05</f>
        <v>0.95000000000000029</v>
      </c>
    </row>
    <row r="91" spans="1:8">
      <c r="A91" s="460"/>
      <c r="B91" s="253" t="s">
        <v>2</v>
      </c>
      <c r="C91" s="253" t="s">
        <v>3</v>
      </c>
      <c r="D91" s="253" t="s">
        <v>4</v>
      </c>
      <c r="E91" s="253" t="s">
        <v>5</v>
      </c>
      <c r="F91" s="253" t="s">
        <v>6</v>
      </c>
      <c r="G91" s="253" t="s">
        <v>168</v>
      </c>
      <c r="H91" s="253" t="s">
        <v>167</v>
      </c>
    </row>
    <row r="92" spans="1:8">
      <c r="A92" s="9" t="str">
        <f t="shared" ref="A92:A112" si="40">A67</f>
        <v>Soybean</v>
      </c>
      <c r="B92" s="9">
        <f>D14*$B$90*0</f>
        <v>0</v>
      </c>
      <c r="C92" s="9">
        <f t="shared" ref="C92:H92" si="41">(B92/B$90)*C$90</f>
        <v>0</v>
      </c>
      <c r="D92" s="9">
        <f t="shared" si="41"/>
        <v>0</v>
      </c>
      <c r="E92" s="9">
        <f t="shared" si="41"/>
        <v>0</v>
      </c>
      <c r="F92" s="9">
        <f t="shared" si="41"/>
        <v>0</v>
      </c>
      <c r="G92" s="9">
        <f t="shared" si="41"/>
        <v>0</v>
      </c>
      <c r="H92" s="9">
        <f t="shared" si="41"/>
        <v>0</v>
      </c>
    </row>
    <row r="93" spans="1:8">
      <c r="A93" s="9" t="str">
        <f t="shared" si="40"/>
        <v>Red Gram/Tur</v>
      </c>
      <c r="B93" s="9">
        <f>D15*$B$90*0</f>
        <v>0</v>
      </c>
      <c r="C93" s="9">
        <f t="shared" ref="C93:C113" si="42">(B93/B$90)*C$90</f>
        <v>0</v>
      </c>
      <c r="D93" s="9">
        <f>(C93/C90)*D90</f>
        <v>0</v>
      </c>
      <c r="E93" s="9">
        <f t="shared" ref="E93:G93" si="43">(D93/D90)*E90</f>
        <v>0</v>
      </c>
      <c r="F93" s="9">
        <f t="shared" si="43"/>
        <v>0</v>
      </c>
      <c r="G93" s="9">
        <f t="shared" si="43"/>
        <v>0</v>
      </c>
      <c r="H93" s="9">
        <f>(G93/G90)*H90</f>
        <v>0</v>
      </c>
    </row>
    <row r="94" spans="1:8">
      <c r="A94" s="9" t="str">
        <f t="shared" si="40"/>
        <v>Paddy/Rice</v>
      </c>
      <c r="B94" s="9">
        <f t="shared" ref="B94:B100" si="44">D16*$B$90</f>
        <v>0</v>
      </c>
      <c r="C94" s="9">
        <f t="shared" si="42"/>
        <v>0</v>
      </c>
      <c r="D94" s="9">
        <f t="shared" ref="D94:H103" si="45">(C94/C$90)*D$90</f>
        <v>0</v>
      </c>
      <c r="E94" s="9">
        <f t="shared" si="45"/>
        <v>0</v>
      </c>
      <c r="F94" s="9">
        <f t="shared" si="45"/>
        <v>0</v>
      </c>
      <c r="G94" s="9">
        <f t="shared" si="45"/>
        <v>0</v>
      </c>
      <c r="H94" s="9">
        <f t="shared" si="45"/>
        <v>0</v>
      </c>
    </row>
    <row r="95" spans="1:8">
      <c r="A95" s="9" t="str">
        <f t="shared" si="40"/>
        <v>Green Gram/ Moong</v>
      </c>
      <c r="B95" s="9">
        <f>D17*$B$90*0</f>
        <v>0</v>
      </c>
      <c r="C95" s="9">
        <f t="shared" si="42"/>
        <v>0</v>
      </c>
      <c r="D95" s="9">
        <f t="shared" si="45"/>
        <v>0</v>
      </c>
      <c r="E95" s="9">
        <f t="shared" si="45"/>
        <v>0</v>
      </c>
      <c r="F95" s="9">
        <f t="shared" si="45"/>
        <v>0</v>
      </c>
      <c r="G95" s="9">
        <f t="shared" si="45"/>
        <v>0</v>
      </c>
      <c r="H95" s="9">
        <f t="shared" si="45"/>
        <v>0</v>
      </c>
    </row>
    <row r="96" spans="1:8">
      <c r="A96" s="9" t="str">
        <f t="shared" si="40"/>
        <v>Maize</v>
      </c>
      <c r="B96" s="9">
        <f t="shared" si="44"/>
        <v>0</v>
      </c>
      <c r="C96" s="9">
        <f t="shared" si="42"/>
        <v>0</v>
      </c>
      <c r="D96" s="9">
        <f t="shared" si="45"/>
        <v>0</v>
      </c>
      <c r="E96" s="9">
        <f t="shared" si="45"/>
        <v>0</v>
      </c>
      <c r="F96" s="9">
        <f t="shared" si="45"/>
        <v>0</v>
      </c>
      <c r="G96" s="9">
        <f t="shared" si="45"/>
        <v>0</v>
      </c>
      <c r="H96" s="9">
        <f t="shared" si="45"/>
        <v>0</v>
      </c>
    </row>
    <row r="97" spans="1:8">
      <c r="A97" s="9" t="str">
        <f t="shared" si="40"/>
        <v>Black Gram/Udid</v>
      </c>
      <c r="B97" s="9">
        <f>D19*$B$90*0</f>
        <v>0</v>
      </c>
      <c r="C97" s="9">
        <f t="shared" si="42"/>
        <v>0</v>
      </c>
      <c r="D97" s="9">
        <f t="shared" si="45"/>
        <v>0</v>
      </c>
      <c r="E97" s="9">
        <f t="shared" si="45"/>
        <v>0</v>
      </c>
      <c r="F97" s="9">
        <f t="shared" si="45"/>
        <v>0</v>
      </c>
      <c r="G97" s="9">
        <f t="shared" si="45"/>
        <v>0</v>
      </c>
      <c r="H97" s="9">
        <f t="shared" si="45"/>
        <v>0</v>
      </c>
    </row>
    <row r="98" spans="1:8">
      <c r="A98" s="9" t="str">
        <f t="shared" si="40"/>
        <v>Bajra</v>
      </c>
      <c r="B98" s="9">
        <f t="shared" si="44"/>
        <v>0</v>
      </c>
      <c r="C98" s="9">
        <f t="shared" si="42"/>
        <v>0</v>
      </c>
      <c r="D98" s="9">
        <f t="shared" si="45"/>
        <v>0</v>
      </c>
      <c r="E98" s="9">
        <f t="shared" si="45"/>
        <v>0</v>
      </c>
      <c r="F98" s="9">
        <f t="shared" si="45"/>
        <v>0</v>
      </c>
      <c r="G98" s="9">
        <f t="shared" si="45"/>
        <v>0</v>
      </c>
      <c r="H98" s="9">
        <f t="shared" si="45"/>
        <v>0</v>
      </c>
    </row>
    <row r="99" spans="1:8">
      <c r="A99" s="9" t="str">
        <f t="shared" si="40"/>
        <v>Jawar</v>
      </c>
      <c r="B99" s="9">
        <f>D21*$B$90*0</f>
        <v>0</v>
      </c>
      <c r="C99" s="9">
        <f t="shared" si="42"/>
        <v>0</v>
      </c>
      <c r="D99" s="9">
        <f t="shared" si="45"/>
        <v>0</v>
      </c>
      <c r="E99" s="9">
        <f t="shared" si="45"/>
        <v>0</v>
      </c>
      <c r="F99" s="9">
        <f t="shared" si="45"/>
        <v>0</v>
      </c>
      <c r="G99" s="9">
        <f t="shared" si="45"/>
        <v>0</v>
      </c>
      <c r="H99" s="9">
        <f t="shared" si="45"/>
        <v>0</v>
      </c>
    </row>
    <row r="100" spans="1:8">
      <c r="A100" s="9" t="str">
        <f t="shared" si="40"/>
        <v>Sunflower</v>
      </c>
      <c r="B100" s="9">
        <f t="shared" si="44"/>
        <v>0</v>
      </c>
      <c r="C100" s="9">
        <f t="shared" si="42"/>
        <v>0</v>
      </c>
      <c r="D100" s="9">
        <f t="shared" si="45"/>
        <v>0</v>
      </c>
      <c r="E100" s="9">
        <f t="shared" si="45"/>
        <v>0</v>
      </c>
      <c r="F100" s="9">
        <f t="shared" si="45"/>
        <v>0</v>
      </c>
      <c r="G100" s="9">
        <f t="shared" si="45"/>
        <v>0</v>
      </c>
      <c r="H100" s="9">
        <f t="shared" si="45"/>
        <v>0</v>
      </c>
    </row>
    <row r="101" spans="1:8">
      <c r="A101" s="9" t="str">
        <f t="shared" si="40"/>
        <v>Wheat</v>
      </c>
      <c r="B101" s="9">
        <f>D24*$B$90*0</f>
        <v>0</v>
      </c>
      <c r="C101" s="9">
        <f t="shared" si="42"/>
        <v>0</v>
      </c>
      <c r="D101" s="9">
        <f t="shared" si="45"/>
        <v>0</v>
      </c>
      <c r="E101" s="9">
        <f t="shared" si="45"/>
        <v>0</v>
      </c>
      <c r="F101" s="9">
        <f t="shared" si="45"/>
        <v>0</v>
      </c>
      <c r="G101" s="9">
        <f t="shared" si="45"/>
        <v>0</v>
      </c>
      <c r="H101" s="9">
        <f t="shared" si="45"/>
        <v>0</v>
      </c>
    </row>
    <row r="102" spans="1:8">
      <c r="A102" s="9" t="str">
        <f t="shared" si="40"/>
        <v>Bengal Gram/Channa</v>
      </c>
      <c r="B102" s="9">
        <f>D25*$B$90*0</f>
        <v>0</v>
      </c>
      <c r="C102" s="9">
        <f t="shared" si="42"/>
        <v>0</v>
      </c>
      <c r="D102" s="9">
        <f t="shared" si="45"/>
        <v>0</v>
      </c>
      <c r="E102" s="9">
        <f t="shared" si="45"/>
        <v>0</v>
      </c>
      <c r="F102" s="9">
        <f t="shared" si="45"/>
        <v>0</v>
      </c>
      <c r="G102" s="9">
        <f t="shared" si="45"/>
        <v>0</v>
      </c>
      <c r="H102" s="9">
        <f t="shared" si="45"/>
        <v>0</v>
      </c>
    </row>
    <row r="103" spans="1:8">
      <c r="A103" s="9" t="str">
        <f t="shared" si="40"/>
        <v>Jawar</v>
      </c>
      <c r="B103" s="9">
        <f t="shared" ref="B103:B108" si="46">D26*$B$90</f>
        <v>0</v>
      </c>
      <c r="C103" s="9">
        <f t="shared" si="42"/>
        <v>0</v>
      </c>
      <c r="D103" s="9">
        <f t="shared" si="45"/>
        <v>0</v>
      </c>
      <c r="E103" s="9">
        <f t="shared" si="45"/>
        <v>0</v>
      </c>
      <c r="F103" s="9">
        <f t="shared" si="45"/>
        <v>0</v>
      </c>
      <c r="G103" s="9">
        <f t="shared" si="45"/>
        <v>0</v>
      </c>
      <c r="H103" s="9">
        <f t="shared" si="45"/>
        <v>0</v>
      </c>
    </row>
    <row r="104" spans="1:8">
      <c r="A104" s="9" t="str">
        <f t="shared" si="40"/>
        <v>Maize</v>
      </c>
      <c r="B104" s="9">
        <f t="shared" si="46"/>
        <v>0</v>
      </c>
      <c r="C104" s="9">
        <f t="shared" si="42"/>
        <v>0</v>
      </c>
      <c r="D104" s="9">
        <f t="shared" ref="D104:H113" si="47">(C104/C$90)*D$90</f>
        <v>0</v>
      </c>
      <c r="E104" s="9">
        <f t="shared" si="47"/>
        <v>0</v>
      </c>
      <c r="F104" s="9">
        <f t="shared" si="47"/>
        <v>0</v>
      </c>
      <c r="G104" s="9">
        <f t="shared" si="47"/>
        <v>0</v>
      </c>
      <c r="H104" s="9">
        <f t="shared" si="47"/>
        <v>0</v>
      </c>
    </row>
    <row r="105" spans="1:8">
      <c r="A105" s="9" t="str">
        <f t="shared" si="40"/>
        <v>Safflower</v>
      </c>
      <c r="B105" s="9">
        <f t="shared" si="46"/>
        <v>0</v>
      </c>
      <c r="C105" s="9">
        <f t="shared" si="42"/>
        <v>0</v>
      </c>
      <c r="D105" s="9">
        <f t="shared" si="47"/>
        <v>0</v>
      </c>
      <c r="E105" s="9">
        <f t="shared" si="47"/>
        <v>0</v>
      </c>
      <c r="F105" s="9">
        <f t="shared" si="47"/>
        <v>0</v>
      </c>
      <c r="G105" s="9">
        <f t="shared" si="47"/>
        <v>0</v>
      </c>
      <c r="H105" s="9">
        <f t="shared" si="47"/>
        <v>0</v>
      </c>
    </row>
    <row r="106" spans="1:8">
      <c r="A106" s="9">
        <f t="shared" si="40"/>
        <v>0</v>
      </c>
      <c r="B106" s="9">
        <f t="shared" si="46"/>
        <v>0</v>
      </c>
      <c r="C106" s="9">
        <f t="shared" si="42"/>
        <v>0</v>
      </c>
      <c r="D106" s="9">
        <f t="shared" si="47"/>
        <v>0</v>
      </c>
      <c r="E106" s="9">
        <f t="shared" si="47"/>
        <v>0</v>
      </c>
      <c r="F106" s="9">
        <f t="shared" si="47"/>
        <v>0</v>
      </c>
      <c r="G106" s="9">
        <f t="shared" si="47"/>
        <v>0</v>
      </c>
      <c r="H106" s="9">
        <f t="shared" si="47"/>
        <v>0</v>
      </c>
    </row>
    <row r="107" spans="1:8">
      <c r="A107" s="9">
        <f t="shared" si="40"/>
        <v>0</v>
      </c>
      <c r="B107" s="9">
        <f t="shared" si="46"/>
        <v>0</v>
      </c>
      <c r="C107" s="9">
        <f t="shared" si="42"/>
        <v>0</v>
      </c>
      <c r="D107" s="9">
        <f t="shared" si="47"/>
        <v>0</v>
      </c>
      <c r="E107" s="9">
        <f t="shared" si="47"/>
        <v>0</v>
      </c>
      <c r="F107" s="9">
        <f t="shared" si="47"/>
        <v>0</v>
      </c>
      <c r="G107" s="9">
        <f t="shared" si="47"/>
        <v>0</v>
      </c>
      <c r="H107" s="9">
        <f t="shared" si="47"/>
        <v>0</v>
      </c>
    </row>
    <row r="108" spans="1:8">
      <c r="A108" s="9">
        <f t="shared" si="40"/>
        <v>0</v>
      </c>
      <c r="B108" s="9">
        <f t="shared" si="46"/>
        <v>0</v>
      </c>
      <c r="C108" s="9">
        <f t="shared" si="42"/>
        <v>0</v>
      </c>
      <c r="D108" s="9">
        <f t="shared" si="47"/>
        <v>0</v>
      </c>
      <c r="E108" s="9">
        <f t="shared" si="47"/>
        <v>0</v>
      </c>
      <c r="F108" s="9">
        <f t="shared" si="47"/>
        <v>0</v>
      </c>
      <c r="G108" s="9">
        <f t="shared" si="47"/>
        <v>0</v>
      </c>
      <c r="H108" s="9">
        <f t="shared" si="47"/>
        <v>0</v>
      </c>
    </row>
    <row r="109" spans="1:8">
      <c r="A109" s="9" t="str">
        <f t="shared" si="40"/>
        <v>Groundnut</v>
      </c>
      <c r="B109" s="9">
        <f>D33*$B$90</f>
        <v>0</v>
      </c>
      <c r="C109" s="9">
        <f t="shared" si="42"/>
        <v>0</v>
      </c>
      <c r="D109" s="9">
        <f t="shared" si="47"/>
        <v>0</v>
      </c>
      <c r="E109" s="9">
        <f t="shared" si="47"/>
        <v>0</v>
      </c>
      <c r="F109" s="9">
        <f t="shared" si="47"/>
        <v>0</v>
      </c>
      <c r="G109" s="9">
        <f t="shared" si="47"/>
        <v>0</v>
      </c>
      <c r="H109" s="9">
        <f t="shared" si="47"/>
        <v>0</v>
      </c>
    </row>
    <row r="110" spans="1:8">
      <c r="A110" s="9">
        <f t="shared" si="40"/>
        <v>0</v>
      </c>
      <c r="B110" s="9">
        <f>D34*$B$90</f>
        <v>0</v>
      </c>
      <c r="C110" s="9">
        <f t="shared" si="42"/>
        <v>0</v>
      </c>
      <c r="D110" s="9">
        <f t="shared" si="47"/>
        <v>0</v>
      </c>
      <c r="E110" s="9">
        <f t="shared" si="47"/>
        <v>0</v>
      </c>
      <c r="F110" s="9">
        <f t="shared" si="47"/>
        <v>0</v>
      </c>
      <c r="G110" s="9">
        <f t="shared" si="47"/>
        <v>0</v>
      </c>
      <c r="H110" s="9">
        <f t="shared" si="47"/>
        <v>0</v>
      </c>
    </row>
    <row r="111" spans="1:8">
      <c r="A111" s="9">
        <f t="shared" si="40"/>
        <v>0</v>
      </c>
      <c r="B111" s="9">
        <f>D34*$B$90</f>
        <v>0</v>
      </c>
      <c r="C111" s="9">
        <f t="shared" si="42"/>
        <v>0</v>
      </c>
      <c r="D111" s="9">
        <f t="shared" si="47"/>
        <v>0</v>
      </c>
      <c r="E111" s="9">
        <f t="shared" si="47"/>
        <v>0</v>
      </c>
      <c r="F111" s="9">
        <f t="shared" si="47"/>
        <v>0</v>
      </c>
      <c r="G111" s="9">
        <f t="shared" si="47"/>
        <v>0</v>
      </c>
      <c r="H111" s="9">
        <f t="shared" si="47"/>
        <v>0</v>
      </c>
    </row>
    <row r="112" spans="1:8">
      <c r="A112" s="9">
        <f t="shared" si="40"/>
        <v>0</v>
      </c>
      <c r="B112" s="9">
        <f>D36*$B$90</f>
        <v>0</v>
      </c>
      <c r="C112" s="9">
        <f t="shared" si="42"/>
        <v>0</v>
      </c>
      <c r="D112" s="9">
        <f t="shared" si="47"/>
        <v>0</v>
      </c>
      <c r="E112" s="9">
        <f t="shared" si="47"/>
        <v>0</v>
      </c>
      <c r="F112" s="9">
        <f t="shared" si="47"/>
        <v>0</v>
      </c>
      <c r="G112" s="9">
        <f t="shared" si="47"/>
        <v>0</v>
      </c>
      <c r="H112" s="9">
        <f t="shared" si="47"/>
        <v>0</v>
      </c>
    </row>
    <row r="113" spans="1:9">
      <c r="A113" s="9"/>
      <c r="B113" s="9">
        <f>D37*$B$90</f>
        <v>0</v>
      </c>
      <c r="C113" s="9">
        <f t="shared" si="42"/>
        <v>0</v>
      </c>
      <c r="D113" s="9">
        <f t="shared" si="47"/>
        <v>0</v>
      </c>
      <c r="E113" s="9">
        <f t="shared" si="47"/>
        <v>0</v>
      </c>
      <c r="F113" s="9">
        <f t="shared" si="47"/>
        <v>0</v>
      </c>
      <c r="G113" s="9">
        <f t="shared" si="47"/>
        <v>0</v>
      </c>
      <c r="H113" s="9">
        <f t="shared" si="47"/>
        <v>0</v>
      </c>
    </row>
    <row r="115" spans="1:9">
      <c r="C115" s="4"/>
      <c r="D115" s="6"/>
      <c r="E115" s="6"/>
      <c r="F115" s="6"/>
      <c r="G115" s="6"/>
      <c r="H115" s="6"/>
      <c r="I115" s="6"/>
    </row>
    <row r="116" spans="1:9">
      <c r="A116" t="s">
        <v>530</v>
      </c>
      <c r="C116" s="13"/>
      <c r="D116" s="13"/>
      <c r="E116" s="13"/>
      <c r="F116" s="13"/>
      <c r="G116" s="13"/>
      <c r="H116" s="13"/>
      <c r="I116" s="13"/>
    </row>
    <row r="117" spans="1:9">
      <c r="A117">
        <v>1</v>
      </c>
      <c r="B117" t="s">
        <v>577</v>
      </c>
    </row>
    <row r="118" spans="1:9">
      <c r="A118">
        <v>2</v>
      </c>
      <c r="B118" t="s">
        <v>578</v>
      </c>
    </row>
    <row r="119" spans="1:9">
      <c r="A119">
        <v>3</v>
      </c>
      <c r="B119" t="s">
        <v>533</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78" zoomScale="80" zoomScaleSheetLayoutView="80" workbookViewId="0">
      <selection activeCell="B98" sqref="B98"/>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04" t="s">
        <v>491</v>
      </c>
      <c r="B1" s="404"/>
      <c r="C1" s="404"/>
      <c r="D1" s="404"/>
      <c r="E1" s="404"/>
      <c r="F1" s="404"/>
      <c r="G1" s="404"/>
      <c r="H1" s="404"/>
    </row>
    <row r="2" spans="1:26">
      <c r="B2" s="4"/>
    </row>
    <row r="3" spans="1:26" ht="18.75">
      <c r="A3" s="458" t="s">
        <v>561</v>
      </c>
      <c r="B3" s="458"/>
    </row>
    <row r="4" spans="1:26">
      <c r="A4" s="242" t="s">
        <v>0</v>
      </c>
      <c r="B4" s="253" t="s">
        <v>377</v>
      </c>
      <c r="C4" s="254"/>
      <c r="D4" s="254"/>
      <c r="E4" s="254"/>
      <c r="F4" s="254"/>
      <c r="G4" s="254"/>
      <c r="H4" s="254"/>
    </row>
    <row r="5" spans="1:26">
      <c r="A5" s="9" t="s">
        <v>484</v>
      </c>
      <c r="B5" s="238"/>
      <c r="D5" s="255"/>
      <c r="E5" s="255"/>
      <c r="F5" s="255"/>
      <c r="G5" s="255"/>
      <c r="H5" s="255"/>
    </row>
    <row r="6" spans="1:26">
      <c r="A6" s="9" t="s">
        <v>485</v>
      </c>
      <c r="B6" s="238"/>
      <c r="D6" s="255"/>
      <c r="E6" s="255"/>
      <c r="F6" s="255"/>
      <c r="G6" s="255"/>
      <c r="H6" s="255"/>
    </row>
    <row r="7" spans="1:26">
      <c r="A7" s="2" t="s">
        <v>1</v>
      </c>
      <c r="B7" s="2">
        <f>B5+B6</f>
        <v>0</v>
      </c>
      <c r="C7" s="5"/>
      <c r="D7" s="256"/>
      <c r="E7" s="256"/>
      <c r="F7" s="256"/>
      <c r="G7" s="256"/>
      <c r="H7" s="256"/>
    </row>
    <row r="8" spans="1:26">
      <c r="A8" s="2" t="s">
        <v>486</v>
      </c>
      <c r="B8" s="270">
        <v>1</v>
      </c>
      <c r="C8" s="5"/>
      <c r="D8" s="5"/>
      <c r="E8" s="5"/>
      <c r="F8" s="5"/>
      <c r="G8" s="5"/>
      <c r="H8" s="5"/>
    </row>
    <row r="9" spans="1:26">
      <c r="A9" s="2" t="s">
        <v>487</v>
      </c>
      <c r="B9" s="2">
        <f>B7*B8</f>
        <v>0</v>
      </c>
      <c r="C9" s="256"/>
      <c r="D9" s="256"/>
      <c r="E9" s="256"/>
      <c r="F9" s="256"/>
      <c r="G9" s="256"/>
      <c r="H9" s="256"/>
    </row>
    <row r="10" spans="1:26">
      <c r="J10" t="s">
        <v>445</v>
      </c>
      <c r="O10" t="s">
        <v>441</v>
      </c>
      <c r="U10" t="s">
        <v>442</v>
      </c>
      <c r="Y10" t="s">
        <v>443</v>
      </c>
      <c r="Z10" t="s">
        <v>444</v>
      </c>
    </row>
    <row r="11" spans="1:26" ht="18.75">
      <c r="A11" s="404" t="s">
        <v>562</v>
      </c>
      <c r="B11" s="404"/>
      <c r="C11" s="404"/>
      <c r="D11" s="404"/>
      <c r="E11" s="404"/>
      <c r="F11" s="404"/>
      <c r="G11" s="404"/>
      <c r="H11" s="404"/>
      <c r="I11" s="5"/>
      <c r="J11" s="5"/>
      <c r="K11" s="5"/>
      <c r="L11" s="5"/>
      <c r="M11" s="5"/>
      <c r="N11" s="5"/>
      <c r="O11" s="5"/>
      <c r="P11" s="5"/>
    </row>
    <row r="12" spans="1:26">
      <c r="J12" s="3">
        <v>0.65</v>
      </c>
      <c r="K12" s="251">
        <f>J12+0.05</f>
        <v>0.70000000000000007</v>
      </c>
      <c r="L12" s="251">
        <f t="shared" ref="L12:N12" si="0">K12+0.05</f>
        <v>0.75000000000000011</v>
      </c>
      <c r="M12" s="251">
        <f t="shared" si="0"/>
        <v>0.80000000000000016</v>
      </c>
      <c r="N12" s="25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42" t="s">
        <v>381</v>
      </c>
      <c r="B13" s="242" t="s">
        <v>382</v>
      </c>
      <c r="C13" s="243" t="s">
        <v>437</v>
      </c>
      <c r="D13" s="243" t="s">
        <v>446</v>
      </c>
      <c r="E13" s="243" t="s">
        <v>447</v>
      </c>
      <c r="F13" s="243" t="s">
        <v>383</v>
      </c>
      <c r="G13" s="243" t="s">
        <v>438</v>
      </c>
      <c r="H13" s="243" t="s">
        <v>384</v>
      </c>
      <c r="O13" s="250" t="s">
        <v>2</v>
      </c>
      <c r="P13" s="250" t="s">
        <v>3</v>
      </c>
      <c r="Q13" s="250" t="s">
        <v>4</v>
      </c>
      <c r="R13" s="250" t="s">
        <v>5</v>
      </c>
      <c r="S13" s="250" t="s">
        <v>6</v>
      </c>
      <c r="T13" s="250" t="s">
        <v>2</v>
      </c>
      <c r="U13" s="250" t="s">
        <v>3</v>
      </c>
      <c r="V13" s="250" t="s">
        <v>4</v>
      </c>
      <c r="W13" s="250" t="s">
        <v>5</v>
      </c>
      <c r="X13" s="250" t="s">
        <v>6</v>
      </c>
    </row>
    <row r="14" spans="1:26">
      <c r="A14" s="462" t="s">
        <v>385</v>
      </c>
      <c r="B14" s="238" t="s">
        <v>474</v>
      </c>
      <c r="C14" s="248">
        <v>0</v>
      </c>
      <c r="D14" s="9">
        <f t="shared" ref="D14:D40" si="3">$B$9*C14</f>
        <v>0</v>
      </c>
      <c r="E14" s="239">
        <v>15</v>
      </c>
      <c r="F14" s="9">
        <f>D14*E14</f>
        <v>0</v>
      </c>
      <c r="G14" s="249">
        <v>0.1</v>
      </c>
      <c r="H14" s="9">
        <f>(F14-F14*G14)</f>
        <v>0</v>
      </c>
      <c r="J14">
        <f>$D$14*J12</f>
        <v>0</v>
      </c>
      <c r="K14">
        <f>$D$14*K12</f>
        <v>0</v>
      </c>
      <c r="L14">
        <f>$D$14*L12</f>
        <v>0</v>
      </c>
      <c r="M14">
        <f>$D$14*M12</f>
        <v>0</v>
      </c>
      <c r="N14">
        <f>$D$14*N12</f>
        <v>0</v>
      </c>
    </row>
    <row r="15" spans="1:26">
      <c r="A15" s="463"/>
      <c r="B15" s="238" t="s">
        <v>475</v>
      </c>
      <c r="C15" s="248">
        <v>0.1</v>
      </c>
      <c r="D15" s="9">
        <f t="shared" si="3"/>
        <v>0</v>
      </c>
      <c r="E15" s="239">
        <v>7</v>
      </c>
      <c r="F15" s="9">
        <f t="shared" ref="F15:F40" si="4">D15*E15</f>
        <v>0</v>
      </c>
      <c r="G15" s="249">
        <v>0.05</v>
      </c>
      <c r="H15" s="9">
        <f>(F15-F15*G15)</f>
        <v>0</v>
      </c>
    </row>
    <row r="16" spans="1:26">
      <c r="A16" s="463"/>
      <c r="B16" s="238" t="s">
        <v>476</v>
      </c>
      <c r="C16" s="248">
        <v>0</v>
      </c>
      <c r="D16" s="9">
        <f t="shared" si="3"/>
        <v>0</v>
      </c>
      <c r="E16" s="239">
        <v>4</v>
      </c>
      <c r="F16" s="9">
        <f t="shared" si="4"/>
        <v>0</v>
      </c>
      <c r="G16" s="249">
        <v>0</v>
      </c>
      <c r="H16" s="9">
        <f t="shared" ref="H16:H40" si="5">(F16-F16*G16)</f>
        <v>0</v>
      </c>
    </row>
    <row r="17" spans="1:8">
      <c r="A17" s="463"/>
      <c r="B17" s="238" t="s">
        <v>477</v>
      </c>
      <c r="C17" s="248">
        <v>0.05</v>
      </c>
      <c r="D17" s="9">
        <f t="shared" si="3"/>
        <v>0</v>
      </c>
      <c r="E17" s="239">
        <v>7</v>
      </c>
      <c r="F17" s="9">
        <f t="shared" si="4"/>
        <v>0</v>
      </c>
      <c r="G17" s="249">
        <v>0.02</v>
      </c>
      <c r="H17" s="9">
        <f t="shared" si="5"/>
        <v>0</v>
      </c>
    </row>
    <row r="18" spans="1:8">
      <c r="A18" s="463"/>
      <c r="B18" s="238" t="s">
        <v>479</v>
      </c>
      <c r="C18" s="248">
        <v>0</v>
      </c>
      <c r="D18" s="9">
        <f t="shared" si="3"/>
        <v>0</v>
      </c>
      <c r="E18" s="239">
        <v>20</v>
      </c>
      <c r="F18" s="9">
        <f t="shared" si="4"/>
        <v>0</v>
      </c>
      <c r="G18" s="249">
        <v>0</v>
      </c>
      <c r="H18" s="9">
        <f t="shared" si="5"/>
        <v>0</v>
      </c>
    </row>
    <row r="19" spans="1:8">
      <c r="A19" s="463"/>
      <c r="B19" s="238"/>
      <c r="C19" s="248">
        <v>0</v>
      </c>
      <c r="D19" s="9">
        <f t="shared" si="3"/>
        <v>0</v>
      </c>
      <c r="E19" s="239">
        <v>7</v>
      </c>
      <c r="F19" s="9">
        <f t="shared" si="4"/>
        <v>0</v>
      </c>
      <c r="G19" s="249">
        <v>0.1</v>
      </c>
      <c r="H19" s="9">
        <f t="shared" si="5"/>
        <v>0</v>
      </c>
    </row>
    <row r="20" spans="1:8">
      <c r="A20" s="463"/>
      <c r="B20" s="238"/>
      <c r="C20" s="248">
        <v>0</v>
      </c>
      <c r="D20" s="9">
        <f t="shared" si="3"/>
        <v>0</v>
      </c>
      <c r="E20" s="239">
        <v>6</v>
      </c>
      <c r="F20" s="9">
        <f t="shared" si="4"/>
        <v>0</v>
      </c>
      <c r="G20" s="249">
        <v>0.02</v>
      </c>
      <c r="H20" s="9">
        <f t="shared" si="5"/>
        <v>0</v>
      </c>
    </row>
    <row r="21" spans="1:8">
      <c r="A21" s="463"/>
      <c r="B21" s="238"/>
      <c r="C21" s="248">
        <v>0</v>
      </c>
      <c r="D21" s="9">
        <f t="shared" si="3"/>
        <v>0</v>
      </c>
      <c r="E21" s="239"/>
      <c r="F21" s="9">
        <f t="shared" si="4"/>
        <v>0</v>
      </c>
      <c r="G21" s="249">
        <v>0</v>
      </c>
      <c r="H21" s="9">
        <f t="shared" si="5"/>
        <v>0</v>
      </c>
    </row>
    <row r="22" spans="1:8">
      <c r="A22" s="464"/>
      <c r="B22" s="238"/>
      <c r="C22" s="248">
        <v>0</v>
      </c>
      <c r="D22" s="9">
        <f t="shared" si="3"/>
        <v>0</v>
      </c>
      <c r="E22" s="239"/>
      <c r="F22" s="9">
        <f t="shared" si="4"/>
        <v>0</v>
      </c>
      <c r="G22" s="249">
        <v>0</v>
      </c>
      <c r="H22" s="9">
        <f t="shared" si="5"/>
        <v>0</v>
      </c>
    </row>
    <row r="23" spans="1:8">
      <c r="A23" s="269" t="s">
        <v>492</v>
      </c>
      <c r="B23" s="263">
        <v>0</v>
      </c>
      <c r="C23" s="264">
        <f>B9*B23</f>
        <v>0</v>
      </c>
      <c r="D23" s="9"/>
      <c r="E23" s="239"/>
      <c r="F23" s="9"/>
      <c r="G23" s="249"/>
      <c r="H23" s="9"/>
    </row>
    <row r="24" spans="1:8">
      <c r="A24" s="462" t="s">
        <v>387</v>
      </c>
      <c r="B24" s="238" t="s">
        <v>474</v>
      </c>
      <c r="C24" s="248">
        <v>0</v>
      </c>
      <c r="D24" s="9">
        <f>C$23*C24</f>
        <v>0</v>
      </c>
      <c r="E24" s="239">
        <v>10</v>
      </c>
      <c r="F24" s="9">
        <f t="shared" si="4"/>
        <v>0</v>
      </c>
      <c r="G24" s="249">
        <v>0.1</v>
      </c>
      <c r="H24" s="9">
        <f t="shared" si="5"/>
        <v>0</v>
      </c>
    </row>
    <row r="25" spans="1:8">
      <c r="A25" s="463"/>
      <c r="B25" s="238" t="s">
        <v>475</v>
      </c>
      <c r="C25" s="248">
        <v>0.1</v>
      </c>
      <c r="D25" s="9">
        <f>C$23*C25</f>
        <v>0</v>
      </c>
      <c r="E25" s="239">
        <v>10</v>
      </c>
      <c r="F25" s="9">
        <f t="shared" si="4"/>
        <v>0</v>
      </c>
      <c r="G25" s="249">
        <v>0.1</v>
      </c>
      <c r="H25" s="9">
        <f t="shared" si="5"/>
        <v>0</v>
      </c>
    </row>
    <row r="26" spans="1:8">
      <c r="A26" s="463"/>
      <c r="B26" s="238" t="s">
        <v>476</v>
      </c>
      <c r="C26" s="248">
        <v>0</v>
      </c>
      <c r="D26" s="9">
        <f>C$23*C26</f>
        <v>0</v>
      </c>
      <c r="E26" s="239">
        <v>10</v>
      </c>
      <c r="F26" s="9">
        <f t="shared" si="4"/>
        <v>0</v>
      </c>
      <c r="G26" s="249">
        <v>0.05</v>
      </c>
      <c r="H26" s="9">
        <f t="shared" si="5"/>
        <v>0</v>
      </c>
    </row>
    <row r="27" spans="1:8">
      <c r="A27" s="463"/>
      <c r="B27" s="238" t="s">
        <v>477</v>
      </c>
      <c r="C27" s="248">
        <v>0</v>
      </c>
      <c r="D27" s="9">
        <f t="shared" ref="D27:D31" si="6">C$23*C27</f>
        <v>0</v>
      </c>
      <c r="E27" s="239">
        <v>20</v>
      </c>
      <c r="F27" s="9">
        <f t="shared" si="4"/>
        <v>0</v>
      </c>
      <c r="G27" s="249">
        <v>0</v>
      </c>
      <c r="H27" s="9">
        <f t="shared" si="5"/>
        <v>0</v>
      </c>
    </row>
    <row r="28" spans="1:8">
      <c r="A28" s="463"/>
      <c r="B28" s="238" t="s">
        <v>478</v>
      </c>
      <c r="C28" s="248">
        <v>0</v>
      </c>
      <c r="D28" s="9">
        <f t="shared" si="6"/>
        <v>0</v>
      </c>
      <c r="E28" s="239"/>
      <c r="F28" s="9">
        <f t="shared" si="4"/>
        <v>0</v>
      </c>
      <c r="G28" s="249">
        <v>0</v>
      </c>
      <c r="H28" s="9">
        <f t="shared" si="5"/>
        <v>0</v>
      </c>
    </row>
    <row r="29" spans="1:8">
      <c r="A29" s="463"/>
      <c r="B29" s="238"/>
      <c r="C29" s="248">
        <v>0</v>
      </c>
      <c r="D29" s="9">
        <f t="shared" si="6"/>
        <v>0</v>
      </c>
      <c r="E29" s="239"/>
      <c r="F29" s="9">
        <f t="shared" si="4"/>
        <v>0</v>
      </c>
      <c r="G29" s="249">
        <v>0</v>
      </c>
      <c r="H29" s="9">
        <f t="shared" si="5"/>
        <v>0</v>
      </c>
    </row>
    <row r="30" spans="1:8">
      <c r="A30" s="463"/>
      <c r="B30" s="238"/>
      <c r="C30" s="248">
        <v>0</v>
      </c>
      <c r="D30" s="9">
        <f t="shared" si="6"/>
        <v>0</v>
      </c>
      <c r="E30" s="239"/>
      <c r="F30" s="9">
        <f t="shared" si="4"/>
        <v>0</v>
      </c>
      <c r="G30" s="249">
        <v>0</v>
      </c>
      <c r="H30" s="9">
        <f t="shared" si="5"/>
        <v>0</v>
      </c>
    </row>
    <row r="31" spans="1:8">
      <c r="A31" s="464"/>
      <c r="B31" s="238"/>
      <c r="C31" s="248">
        <v>0</v>
      </c>
      <c r="D31" s="9">
        <f t="shared" si="6"/>
        <v>0</v>
      </c>
      <c r="E31" s="239"/>
      <c r="F31" s="9">
        <f t="shared" si="4"/>
        <v>0</v>
      </c>
      <c r="G31" s="249">
        <v>0</v>
      </c>
      <c r="H31" s="9">
        <f t="shared" si="5"/>
        <v>0</v>
      </c>
    </row>
    <row r="32" spans="1:8">
      <c r="A32" s="269" t="s">
        <v>493</v>
      </c>
      <c r="B32" s="263">
        <v>0</v>
      </c>
      <c r="C32" s="238">
        <f>B9*B32</f>
        <v>0</v>
      </c>
      <c r="D32" s="9"/>
      <c r="E32" s="239"/>
      <c r="F32" s="9"/>
      <c r="G32" s="249"/>
      <c r="H32" s="9"/>
    </row>
    <row r="33" spans="1:8">
      <c r="A33" s="266" t="s">
        <v>450</v>
      </c>
      <c r="B33" s="238"/>
      <c r="C33" s="248">
        <v>0</v>
      </c>
      <c r="D33" s="9">
        <f>C$32*C33</f>
        <v>0</v>
      </c>
      <c r="E33" s="239"/>
      <c r="F33" s="9">
        <f t="shared" si="4"/>
        <v>0</v>
      </c>
      <c r="G33" s="249">
        <v>0</v>
      </c>
      <c r="H33" s="9">
        <f t="shared" si="5"/>
        <v>0</v>
      </c>
    </row>
    <row r="34" spans="1:8">
      <c r="A34" s="267"/>
      <c r="B34" s="238"/>
      <c r="C34" s="248">
        <v>0</v>
      </c>
      <c r="D34" s="9">
        <f>C$32*C34</f>
        <v>0</v>
      </c>
      <c r="E34" s="239"/>
      <c r="F34" s="9">
        <f t="shared" si="4"/>
        <v>0</v>
      </c>
      <c r="G34" s="249">
        <v>0</v>
      </c>
      <c r="H34" s="9">
        <f t="shared" si="5"/>
        <v>0</v>
      </c>
    </row>
    <row r="35" spans="1:8">
      <c r="A35" s="267"/>
      <c r="B35" s="238"/>
      <c r="C35" s="248">
        <v>0</v>
      </c>
      <c r="D35" s="9">
        <f>C$32*C35</f>
        <v>0</v>
      </c>
      <c r="E35" s="239"/>
      <c r="F35" s="9">
        <f t="shared" si="4"/>
        <v>0</v>
      </c>
      <c r="G35" s="249">
        <v>0</v>
      </c>
      <c r="H35" s="9">
        <f t="shared" si="5"/>
        <v>0</v>
      </c>
    </row>
    <row r="36" spans="1:8">
      <c r="A36" s="268"/>
      <c r="B36" s="238"/>
      <c r="C36" s="248">
        <v>0</v>
      </c>
      <c r="D36" s="9">
        <f>C$32*C36</f>
        <v>0</v>
      </c>
      <c r="E36" s="239"/>
      <c r="F36" s="9">
        <f t="shared" si="4"/>
        <v>0</v>
      </c>
      <c r="G36" s="249">
        <v>0</v>
      </c>
      <c r="H36" s="9">
        <f t="shared" si="5"/>
        <v>0</v>
      </c>
    </row>
    <row r="37" spans="1:8">
      <c r="A37" s="478" t="s">
        <v>494</v>
      </c>
      <c r="B37" s="238" t="s">
        <v>480</v>
      </c>
      <c r="C37" s="248">
        <v>0.5</v>
      </c>
      <c r="D37" s="9">
        <f t="shared" si="3"/>
        <v>0</v>
      </c>
      <c r="E37" s="239">
        <v>6</v>
      </c>
      <c r="F37" s="9">
        <f t="shared" si="4"/>
        <v>0</v>
      </c>
      <c r="G37" s="249">
        <v>0.05</v>
      </c>
      <c r="H37" s="9">
        <f t="shared" si="5"/>
        <v>0</v>
      </c>
    </row>
    <row r="38" spans="1:8">
      <c r="A38" s="478"/>
      <c r="B38" s="238" t="s">
        <v>481</v>
      </c>
      <c r="C38" s="248">
        <v>0</v>
      </c>
      <c r="D38" s="9">
        <f t="shared" si="3"/>
        <v>0</v>
      </c>
      <c r="E38" s="239"/>
      <c r="F38" s="9">
        <f t="shared" si="4"/>
        <v>0</v>
      </c>
      <c r="G38" s="249">
        <v>0</v>
      </c>
      <c r="H38" s="9">
        <f t="shared" si="5"/>
        <v>0</v>
      </c>
    </row>
    <row r="39" spans="1:8">
      <c r="A39" s="478"/>
      <c r="B39" s="238" t="s">
        <v>482</v>
      </c>
      <c r="C39" s="248">
        <v>0</v>
      </c>
      <c r="D39" s="9">
        <f t="shared" si="3"/>
        <v>0</v>
      </c>
      <c r="E39" s="239"/>
      <c r="F39" s="9">
        <f t="shared" si="4"/>
        <v>0</v>
      </c>
      <c r="G39" s="249">
        <v>0</v>
      </c>
      <c r="H39" s="9">
        <f t="shared" si="5"/>
        <v>0</v>
      </c>
    </row>
    <row r="40" spans="1:8">
      <c r="A40" s="478"/>
      <c r="B40" s="238" t="s">
        <v>483</v>
      </c>
      <c r="C40" s="248">
        <v>0</v>
      </c>
      <c r="D40" s="9">
        <f t="shared" si="3"/>
        <v>0</v>
      </c>
      <c r="E40" s="239"/>
      <c r="F40" s="9">
        <f t="shared" si="4"/>
        <v>0</v>
      </c>
      <c r="G40" s="249">
        <v>0</v>
      </c>
      <c r="H40" s="9">
        <f t="shared" si="5"/>
        <v>0</v>
      </c>
    </row>
    <row r="41" spans="1:8">
      <c r="A41" s="461" t="s">
        <v>391</v>
      </c>
      <c r="B41" s="461"/>
      <c r="C41" s="461"/>
      <c r="D41" s="461"/>
      <c r="E41" s="461"/>
      <c r="F41" s="461"/>
      <c r="G41" s="461"/>
      <c r="H41" s="461"/>
    </row>
    <row r="43" spans="1:8" ht="18.75">
      <c r="A43" s="465" t="s">
        <v>563</v>
      </c>
      <c r="B43" s="466"/>
      <c r="C43" s="466"/>
      <c r="D43" s="466"/>
      <c r="E43" s="466"/>
      <c r="F43" s="466"/>
      <c r="G43" s="466"/>
      <c r="H43" s="467"/>
    </row>
    <row r="44" spans="1:8">
      <c r="A44" s="468" t="s">
        <v>0</v>
      </c>
      <c r="B44" s="259">
        <v>0.35</v>
      </c>
      <c r="C44" s="259">
        <f>B44+0.05</f>
        <v>0.39999999999999997</v>
      </c>
      <c r="D44" s="259">
        <f t="shared" ref="D44:G44" si="7">C44+0.05</f>
        <v>0.44999999999999996</v>
      </c>
      <c r="E44" s="259">
        <f t="shared" si="7"/>
        <v>0.49999999999999994</v>
      </c>
      <c r="F44" s="259">
        <f t="shared" si="7"/>
        <v>0.54999999999999993</v>
      </c>
      <c r="G44" s="259">
        <f t="shared" si="7"/>
        <v>0.6</v>
      </c>
      <c r="H44" s="259">
        <f>G44+0.05</f>
        <v>0.65</v>
      </c>
    </row>
    <row r="45" spans="1:8">
      <c r="A45" s="469"/>
      <c r="B45" s="253" t="s">
        <v>2</v>
      </c>
      <c r="C45" s="253" t="s">
        <v>3</v>
      </c>
      <c r="D45" s="253" t="s">
        <v>4</v>
      </c>
      <c r="E45" s="253" t="s">
        <v>5</v>
      </c>
      <c r="F45" s="253" t="s">
        <v>6</v>
      </c>
      <c r="G45" s="253" t="s">
        <v>168</v>
      </c>
      <c r="H45" s="253" t="s">
        <v>167</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70" t="s">
        <v>564</v>
      </c>
      <c r="B71" s="471"/>
      <c r="C71" s="471"/>
      <c r="D71" s="471"/>
      <c r="E71" s="471"/>
      <c r="F71" s="471"/>
      <c r="G71" s="471"/>
      <c r="H71" s="472"/>
    </row>
    <row r="72" spans="1:8">
      <c r="A72" s="473" t="s">
        <v>0</v>
      </c>
      <c r="B72" s="260">
        <v>0.05</v>
      </c>
      <c r="C72" s="260">
        <f>B72+0.05</f>
        <v>0.1</v>
      </c>
      <c r="D72" s="260">
        <f t="shared" ref="D72:G72" si="26">C72+0.05</f>
        <v>0.15000000000000002</v>
      </c>
      <c r="E72" s="260">
        <f t="shared" si="26"/>
        <v>0.2</v>
      </c>
      <c r="F72" s="260">
        <f t="shared" si="26"/>
        <v>0.25</v>
      </c>
      <c r="G72" s="260">
        <f t="shared" si="26"/>
        <v>0.3</v>
      </c>
      <c r="H72" s="260">
        <f>G72+0.05</f>
        <v>0.35</v>
      </c>
    </row>
    <row r="73" spans="1:8">
      <c r="A73" s="474"/>
      <c r="B73" s="253" t="s">
        <v>2</v>
      </c>
      <c r="C73" s="253" t="s">
        <v>3</v>
      </c>
      <c r="D73" s="253" t="s">
        <v>4</v>
      </c>
      <c r="E73" s="253" t="s">
        <v>5</v>
      </c>
      <c r="F73" s="253" t="s">
        <v>6</v>
      </c>
      <c r="G73" s="253" t="s">
        <v>168</v>
      </c>
      <c r="H73" s="253" t="s">
        <v>167</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f>
        <v>0</v>
      </c>
      <c r="C79" s="9">
        <f t="shared" si="32"/>
        <v>0</v>
      </c>
      <c r="D79" s="9">
        <f t="shared" si="32"/>
        <v>0</v>
      </c>
      <c r="E79" s="9">
        <f t="shared" si="32"/>
        <v>0</v>
      </c>
      <c r="F79" s="9">
        <f t="shared" si="32"/>
        <v>0</v>
      </c>
      <c r="G79" s="9">
        <f t="shared" si="32"/>
        <v>0</v>
      </c>
      <c r="H79" s="9">
        <f t="shared" si="32"/>
        <v>0</v>
      </c>
    </row>
    <row r="80" spans="1:8">
      <c r="A80" s="9">
        <f t="shared" si="27"/>
        <v>0</v>
      </c>
      <c r="B80" s="9">
        <f>H20*$B$72</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70" t="s">
        <v>565</v>
      </c>
      <c r="B99" s="471"/>
      <c r="C99" s="471"/>
      <c r="D99" s="471"/>
      <c r="E99" s="471"/>
      <c r="F99" s="471"/>
      <c r="G99" s="471"/>
      <c r="H99" s="472"/>
    </row>
    <row r="100" spans="1:8">
      <c r="A100" s="459" t="s">
        <v>0</v>
      </c>
      <c r="B100" s="278">
        <v>0.65</v>
      </c>
      <c r="C100" s="279">
        <f>B100+0.05</f>
        <v>0.70000000000000007</v>
      </c>
      <c r="D100" s="279">
        <f t="shared" ref="D100:G100" si="45">C100+0.05</f>
        <v>0.75000000000000011</v>
      </c>
      <c r="E100" s="279">
        <f t="shared" si="45"/>
        <v>0.80000000000000016</v>
      </c>
      <c r="F100" s="279">
        <f t="shared" si="45"/>
        <v>0.8500000000000002</v>
      </c>
      <c r="G100" s="279">
        <f t="shared" si="45"/>
        <v>0.90000000000000024</v>
      </c>
      <c r="H100" s="279">
        <f>G100+0.05</f>
        <v>0.95000000000000029</v>
      </c>
    </row>
    <row r="101" spans="1:8">
      <c r="A101" s="460"/>
      <c r="B101" s="253" t="s">
        <v>2</v>
      </c>
      <c r="C101" s="253" t="s">
        <v>3</v>
      </c>
      <c r="D101" s="253" t="s">
        <v>4</v>
      </c>
      <c r="E101" s="253" t="s">
        <v>5</v>
      </c>
      <c r="F101" s="253" t="s">
        <v>6</v>
      </c>
      <c r="G101" s="253" t="s">
        <v>168</v>
      </c>
      <c r="H101" s="253" t="s">
        <v>167</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530</v>
      </c>
      <c r="C129" s="13"/>
      <c r="D129" s="13"/>
      <c r="E129" s="13"/>
      <c r="F129" s="13"/>
      <c r="G129" s="13"/>
      <c r="H129" s="13"/>
      <c r="I129" s="13"/>
    </row>
    <row r="130" spans="1:9">
      <c r="A130">
        <v>1</v>
      </c>
      <c r="B130" t="s">
        <v>531</v>
      </c>
    </row>
    <row r="131" spans="1:9">
      <c r="A131">
        <v>2</v>
      </c>
      <c r="B131" t="s">
        <v>532</v>
      </c>
    </row>
    <row r="132" spans="1:9">
      <c r="A132">
        <v>3</v>
      </c>
      <c r="B132" t="s">
        <v>533</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220"/>
  <sheetViews>
    <sheetView view="pageBreakPreview" topLeftCell="A198" zoomScale="80" zoomScaleSheetLayoutView="80" workbookViewId="0">
      <selection activeCell="D231" sqref="D231"/>
    </sheetView>
  </sheetViews>
  <sheetFormatPr defaultRowHeight="15"/>
  <cols>
    <col min="1" max="1" width="33.28515625" customWidth="1"/>
    <col min="2" max="2" width="14" customWidth="1"/>
    <col min="3" max="3" width="11.85546875" customWidth="1"/>
    <col min="4" max="4" width="13.140625" customWidth="1"/>
    <col min="5" max="5" width="12.85546875" customWidth="1"/>
    <col min="6" max="6" width="13.85546875" customWidth="1"/>
    <col min="7" max="10" width="15.85546875" bestFit="1" customWidth="1"/>
    <col min="11" max="11" width="10.5703125" bestFit="1" customWidth="1"/>
    <col min="13" max="13" width="22.85546875" bestFit="1" customWidth="1"/>
    <col min="14" max="14" width="12.85546875" bestFit="1" customWidth="1"/>
  </cols>
  <sheetData>
    <row r="2" spans="1:15" ht="18.75">
      <c r="A2" s="404" t="s">
        <v>783</v>
      </c>
      <c r="B2" s="404"/>
      <c r="C2" s="404"/>
      <c r="D2" s="404"/>
      <c r="E2" s="404"/>
      <c r="F2" s="404"/>
      <c r="G2" s="404"/>
      <c r="H2" s="404"/>
    </row>
    <row r="3" spans="1:15" ht="18.75">
      <c r="A3" s="404" t="s">
        <v>566</v>
      </c>
      <c r="B3" s="404"/>
      <c r="C3" s="404"/>
      <c r="D3" s="404"/>
      <c r="E3" s="404"/>
      <c r="F3" s="404"/>
      <c r="G3" s="404"/>
      <c r="H3" s="404"/>
    </row>
    <row r="4" spans="1:15">
      <c r="B4" s="72"/>
      <c r="C4" s="72"/>
      <c r="D4" s="72"/>
      <c r="E4" s="72"/>
      <c r="F4" s="406" t="s">
        <v>462</v>
      </c>
      <c r="G4" s="406"/>
      <c r="H4" s="406"/>
    </row>
    <row r="5" spans="1:15">
      <c r="A5" s="72" t="s">
        <v>160</v>
      </c>
      <c r="B5" s="207">
        <v>10</v>
      </c>
      <c r="C5" s="72" t="s">
        <v>440</v>
      </c>
      <c r="D5" s="72"/>
      <c r="E5" s="72"/>
      <c r="F5" s="242" t="s">
        <v>463</v>
      </c>
      <c r="G5" s="242" t="s">
        <v>464</v>
      </c>
      <c r="H5" s="72"/>
      <c r="L5">
        <v>14.35</v>
      </c>
      <c r="M5">
        <f>L5*K5</f>
        <v>0</v>
      </c>
    </row>
    <row r="6" spans="1:15">
      <c r="A6" s="72" t="s">
        <v>161</v>
      </c>
      <c r="B6" s="232">
        <v>8</v>
      </c>
      <c r="C6" s="72"/>
      <c r="D6" s="72"/>
      <c r="E6" s="72"/>
      <c r="F6" s="9" t="s">
        <v>460</v>
      </c>
      <c r="G6" s="261">
        <v>0.03</v>
      </c>
      <c r="H6" s="72"/>
      <c r="L6">
        <v>42</v>
      </c>
      <c r="M6">
        <f>L6/2</f>
        <v>21</v>
      </c>
      <c r="N6">
        <f>M6*K5</f>
        <v>0</v>
      </c>
      <c r="O6">
        <f>N6-M5</f>
        <v>0</v>
      </c>
    </row>
    <row r="7" spans="1:15">
      <c r="A7" s="72"/>
      <c r="B7" s="72"/>
      <c r="C7" s="72"/>
      <c r="D7" s="72"/>
      <c r="E7" s="72"/>
      <c r="F7" s="9" t="s">
        <v>461</v>
      </c>
      <c r="G7" s="261">
        <v>0.05</v>
      </c>
      <c r="H7" s="72"/>
    </row>
    <row r="8" spans="1:15">
      <c r="A8" s="72"/>
      <c r="B8" s="377"/>
      <c r="C8" s="72"/>
      <c r="D8" s="72"/>
      <c r="E8" s="72"/>
      <c r="F8" s="9"/>
      <c r="G8" s="261"/>
      <c r="H8" s="72"/>
    </row>
    <row r="9" spans="1:15">
      <c r="A9" s="124" t="s">
        <v>0</v>
      </c>
      <c r="B9" s="96" t="s">
        <v>2</v>
      </c>
      <c r="C9" s="96" t="s">
        <v>3</v>
      </c>
      <c r="D9" s="96" t="s">
        <v>4</v>
      </c>
      <c r="E9" s="96" t="s">
        <v>5</v>
      </c>
      <c r="F9" s="96" t="s">
        <v>6</v>
      </c>
      <c r="G9" s="96" t="s">
        <v>168</v>
      </c>
      <c r="H9" s="96" t="s">
        <v>167</v>
      </c>
    </row>
    <row r="10" spans="1:15">
      <c r="A10" s="73" t="s">
        <v>439</v>
      </c>
      <c r="B10" s="376">
        <f>B33/($B$5*$B$6)</f>
        <v>130.22958</v>
      </c>
      <c r="C10" s="376">
        <f t="shared" ref="C10:H10" si="0">C33/($B$5*$B$6)</f>
        <v>151.93450999999999</v>
      </c>
      <c r="D10" s="376">
        <f t="shared" si="0"/>
        <v>173.63943999999998</v>
      </c>
      <c r="E10" s="376">
        <f t="shared" si="0"/>
        <v>195.34436999999997</v>
      </c>
      <c r="F10" s="376">
        <f t="shared" si="0"/>
        <v>217.04929999999996</v>
      </c>
      <c r="G10" s="376">
        <f t="shared" si="0"/>
        <v>238.75423000000001</v>
      </c>
      <c r="H10" s="376">
        <f t="shared" si="0"/>
        <v>260.45916</v>
      </c>
    </row>
    <row r="11" spans="1:15" hidden="1">
      <c r="A11" s="167" t="str">
        <f>'10.Grain Production details'!A42</f>
        <v>Soybean</v>
      </c>
      <c r="B11" s="167"/>
      <c r="C11" s="167"/>
      <c r="D11" s="167"/>
      <c r="E11" s="167"/>
      <c r="F11" s="167"/>
      <c r="G11" s="167"/>
      <c r="H11" s="167"/>
    </row>
    <row r="12" spans="1:15" hidden="1">
      <c r="A12" s="167" t="str">
        <f>'10.Grain Production details'!A43</f>
        <v>Red Gram/Tur</v>
      </c>
      <c r="B12" s="167"/>
      <c r="C12" s="167"/>
      <c r="D12" s="167"/>
      <c r="E12" s="167"/>
      <c r="F12" s="167"/>
      <c r="G12" s="167"/>
      <c r="H12" s="167"/>
    </row>
    <row r="13" spans="1:15" hidden="1">
      <c r="A13" s="167" t="str">
        <f>'10.Grain Production details'!A44</f>
        <v>Paddy/Rice</v>
      </c>
      <c r="B13" s="167"/>
      <c r="C13" s="167"/>
      <c r="D13" s="167"/>
      <c r="E13" s="167"/>
      <c r="F13" s="167"/>
      <c r="G13" s="167"/>
      <c r="H13" s="167"/>
    </row>
    <row r="14" spans="1:15" hidden="1">
      <c r="A14" s="167" t="str">
        <f>'10.Grain Production details'!A45</f>
        <v>Green Gram/ Moong</v>
      </c>
      <c r="B14" s="167"/>
      <c r="C14" s="167"/>
      <c r="D14" s="167"/>
      <c r="E14" s="167"/>
      <c r="F14" s="167"/>
      <c r="G14" s="167"/>
      <c r="H14" s="167"/>
    </row>
    <row r="15" spans="1:15" hidden="1">
      <c r="A15" s="167" t="str">
        <f>'10.Grain Production details'!A46</f>
        <v>Maize</v>
      </c>
      <c r="B15" s="167"/>
      <c r="C15" s="167"/>
      <c r="D15" s="167"/>
      <c r="E15" s="167"/>
      <c r="F15" s="167"/>
      <c r="G15" s="167"/>
      <c r="H15" s="167"/>
    </row>
    <row r="16" spans="1:15" hidden="1">
      <c r="A16" s="167" t="str">
        <f>'10.Grain Production details'!A47</f>
        <v>Black Gram/Udid</v>
      </c>
      <c r="B16" s="167"/>
      <c r="C16" s="167"/>
      <c r="D16" s="167"/>
      <c r="E16" s="167"/>
      <c r="F16" s="167"/>
      <c r="G16" s="167"/>
      <c r="H16" s="167"/>
    </row>
    <row r="17" spans="1:8" hidden="1">
      <c r="A17" s="167" t="str">
        <f>'10.Grain Production details'!A48</f>
        <v>Bajra</v>
      </c>
      <c r="B17" s="167">
        <f>'10.Grain Production details'!B48</f>
        <v>0</v>
      </c>
      <c r="C17" s="167">
        <f>'10.Grain Production details'!C48</f>
        <v>0</v>
      </c>
      <c r="D17" s="167">
        <f>'10.Grain Production details'!D48</f>
        <v>0</v>
      </c>
      <c r="E17" s="167">
        <f>'10.Grain Production details'!E48</f>
        <v>0</v>
      </c>
      <c r="F17" s="167">
        <f>'10.Grain Production details'!F48</f>
        <v>0</v>
      </c>
      <c r="G17" s="167">
        <f>'10.Grain Production details'!G48</f>
        <v>0</v>
      </c>
      <c r="H17" s="167">
        <f>'10.Grain Production details'!H48</f>
        <v>0</v>
      </c>
    </row>
    <row r="18" spans="1:8">
      <c r="A18" s="167" t="str">
        <f>'10.Grain Production details'!A49</f>
        <v>Jawar</v>
      </c>
      <c r="B18" s="167">
        <f>'10.Grain Production details'!B74</f>
        <v>3880.5</v>
      </c>
      <c r="C18" s="167">
        <f>'10.Grain Production details'!C74</f>
        <v>4527.25</v>
      </c>
      <c r="D18" s="167">
        <f>'10.Grain Production details'!D74</f>
        <v>5174</v>
      </c>
      <c r="E18" s="167">
        <f>'10.Grain Production details'!E74</f>
        <v>5820.75</v>
      </c>
      <c r="F18" s="167">
        <f>'10.Grain Production details'!F74</f>
        <v>6467.5</v>
      </c>
      <c r="G18" s="167">
        <f>'10.Grain Production details'!G74</f>
        <v>7114.25</v>
      </c>
      <c r="H18" s="167">
        <f>'10.Grain Production details'!H74</f>
        <v>7761.0000000000009</v>
      </c>
    </row>
    <row r="19" spans="1:8">
      <c r="A19" s="167" t="str">
        <f>'10.Grain Production details'!A50</f>
        <v>Sunflower</v>
      </c>
      <c r="B19" s="167">
        <f>'10.Grain Production details'!B50</f>
        <v>0</v>
      </c>
      <c r="C19" s="167">
        <f>'10.Grain Production details'!C50</f>
        <v>0</v>
      </c>
      <c r="D19" s="167">
        <f>'10.Grain Production details'!D50</f>
        <v>0</v>
      </c>
      <c r="E19" s="167">
        <f>'10.Grain Production details'!E50</f>
        <v>0</v>
      </c>
      <c r="F19" s="167">
        <f>'10.Grain Production details'!F50</f>
        <v>0</v>
      </c>
      <c r="G19" s="167">
        <f>'10.Grain Production details'!G50</f>
        <v>0</v>
      </c>
      <c r="H19" s="167">
        <f>'10.Grain Production details'!H50</f>
        <v>0</v>
      </c>
    </row>
    <row r="20" spans="1:8">
      <c r="A20" s="167" t="str">
        <f>'10.Grain Production details'!A51</f>
        <v>Wheat</v>
      </c>
      <c r="B20" s="167">
        <f>'10.Grain Production details'!B76</f>
        <v>6537.8663999999999</v>
      </c>
      <c r="C20" s="167">
        <f>'10.Grain Production details'!C76</f>
        <v>7627.5107999999991</v>
      </c>
      <c r="D20" s="167">
        <f>'10.Grain Production details'!D76</f>
        <v>8717.1551999999992</v>
      </c>
      <c r="E20" s="167">
        <f>'10.Grain Production details'!E76</f>
        <v>9806.7995999999985</v>
      </c>
      <c r="F20" s="167">
        <f>'10.Grain Production details'!F76</f>
        <v>10896.443999999998</v>
      </c>
      <c r="G20" s="167">
        <f>'10.Grain Production details'!G76</f>
        <v>11986.088399999999</v>
      </c>
      <c r="H20" s="167">
        <f>'10.Grain Production details'!H76</f>
        <v>13075.7328</v>
      </c>
    </row>
    <row r="21" spans="1:8" hidden="1">
      <c r="A21" s="167" t="str">
        <f>'10.Grain Production details'!A52</f>
        <v>Bengal Gram/Channa</v>
      </c>
      <c r="B21" s="167">
        <f>'10.Grain Production details'!B52*0</f>
        <v>0</v>
      </c>
      <c r="C21" s="167">
        <f>'10.Grain Production details'!C52*0</f>
        <v>0</v>
      </c>
      <c r="D21" s="167">
        <f>'10.Grain Production details'!D52*0</f>
        <v>0</v>
      </c>
      <c r="E21" s="167">
        <f>'10.Grain Production details'!E52*0</f>
        <v>0</v>
      </c>
      <c r="F21" s="167">
        <f>'10.Grain Production details'!F52*0</f>
        <v>0</v>
      </c>
      <c r="G21" s="167">
        <f>'10.Grain Production details'!G52*0</f>
        <v>0</v>
      </c>
      <c r="H21" s="167">
        <f>'10.Grain Production details'!H52*0</f>
        <v>0</v>
      </c>
    </row>
    <row r="22" spans="1:8" hidden="1">
      <c r="A22" s="167" t="str">
        <f>'10.Grain Production details'!A53</f>
        <v>Jawar</v>
      </c>
      <c r="B22" s="167">
        <f>'10.Grain Production details'!B53</f>
        <v>0</v>
      </c>
      <c r="C22" s="167">
        <f>'10.Grain Production details'!C53</f>
        <v>0</v>
      </c>
      <c r="D22" s="167">
        <f>'10.Grain Production details'!D53</f>
        <v>0</v>
      </c>
      <c r="E22" s="167">
        <f>'10.Grain Production details'!E53</f>
        <v>0</v>
      </c>
      <c r="F22" s="167">
        <f>'10.Grain Production details'!F53</f>
        <v>0</v>
      </c>
      <c r="G22" s="167">
        <f>'10.Grain Production details'!G53</f>
        <v>0</v>
      </c>
      <c r="H22" s="167">
        <f>'10.Grain Production details'!H53</f>
        <v>0</v>
      </c>
    </row>
    <row r="23" spans="1:8" hidden="1">
      <c r="A23" s="167" t="str">
        <f>'10.Grain Production details'!A54</f>
        <v>Maize</v>
      </c>
      <c r="B23" s="167">
        <f>'10.Grain Production details'!B54</f>
        <v>0</v>
      </c>
      <c r="C23" s="167">
        <f>'10.Grain Production details'!C54</f>
        <v>0</v>
      </c>
      <c r="D23" s="167">
        <f>'10.Grain Production details'!D54</f>
        <v>0</v>
      </c>
      <c r="E23" s="167">
        <f>'10.Grain Production details'!E54</f>
        <v>0</v>
      </c>
      <c r="F23" s="167">
        <f>'10.Grain Production details'!F54</f>
        <v>0</v>
      </c>
      <c r="G23" s="167">
        <f>'10.Grain Production details'!G54</f>
        <v>0</v>
      </c>
      <c r="H23" s="167">
        <f>'10.Grain Production details'!H54</f>
        <v>0</v>
      </c>
    </row>
    <row r="24" spans="1:8" hidden="1">
      <c r="A24" s="167" t="str">
        <f>'10.Grain Production details'!A55</f>
        <v>Safflower</v>
      </c>
      <c r="B24" s="167">
        <f>'10.Grain Production details'!B55</f>
        <v>0</v>
      </c>
      <c r="C24" s="167">
        <f>'10.Grain Production details'!C55</f>
        <v>0</v>
      </c>
      <c r="D24" s="167">
        <f>'10.Grain Production details'!D55</f>
        <v>0</v>
      </c>
      <c r="E24" s="167">
        <f>'10.Grain Production details'!E55</f>
        <v>0</v>
      </c>
      <c r="F24" s="167">
        <f>'10.Grain Production details'!F55</f>
        <v>0</v>
      </c>
      <c r="G24" s="167">
        <f>'10.Grain Production details'!G55</f>
        <v>0</v>
      </c>
      <c r="H24" s="167">
        <f>'10.Grain Production details'!H55</f>
        <v>0</v>
      </c>
    </row>
    <row r="25" spans="1:8" hidden="1">
      <c r="A25" s="167">
        <f>'10.Grain Production details'!A56</f>
        <v>0</v>
      </c>
      <c r="B25" s="167">
        <f>'10.Grain Production details'!B56</f>
        <v>0</v>
      </c>
      <c r="C25" s="167">
        <f>'10.Grain Production details'!C56</f>
        <v>0</v>
      </c>
      <c r="D25" s="167">
        <f>'10.Grain Production details'!D56</f>
        <v>0</v>
      </c>
      <c r="E25" s="167">
        <f>'10.Grain Production details'!E56</f>
        <v>0</v>
      </c>
      <c r="F25" s="167">
        <f>'10.Grain Production details'!F56</f>
        <v>0</v>
      </c>
      <c r="G25" s="167">
        <f>'10.Grain Production details'!G56</f>
        <v>0</v>
      </c>
      <c r="H25" s="167">
        <f>'10.Grain Production details'!H56</f>
        <v>0</v>
      </c>
    </row>
    <row r="26" spans="1:8" hidden="1">
      <c r="A26" s="167">
        <f>'10.Grain Production details'!A57</f>
        <v>0</v>
      </c>
      <c r="B26" s="167">
        <f>'10.Grain Production details'!B57</f>
        <v>0</v>
      </c>
      <c r="C26" s="167">
        <f>'10.Grain Production details'!C57</f>
        <v>0</v>
      </c>
      <c r="D26" s="167">
        <f>'10.Grain Production details'!D57</f>
        <v>0</v>
      </c>
      <c r="E26" s="167">
        <f>'10.Grain Production details'!E57</f>
        <v>0</v>
      </c>
      <c r="F26" s="167">
        <f>'10.Grain Production details'!F57</f>
        <v>0</v>
      </c>
      <c r="G26" s="167">
        <f>'10.Grain Production details'!G57</f>
        <v>0</v>
      </c>
      <c r="H26" s="167">
        <f>'10.Grain Production details'!H57</f>
        <v>0</v>
      </c>
    </row>
    <row r="27" spans="1:8" hidden="1">
      <c r="A27" s="167">
        <f>'10.Grain Production details'!A58</f>
        <v>0</v>
      </c>
      <c r="B27" s="167">
        <f>'10.Grain Production details'!B58</f>
        <v>0</v>
      </c>
      <c r="C27" s="167">
        <f>'10.Grain Production details'!C58</f>
        <v>0</v>
      </c>
      <c r="D27" s="167">
        <f>'10.Grain Production details'!D58</f>
        <v>0</v>
      </c>
      <c r="E27" s="167">
        <f>'10.Grain Production details'!E58</f>
        <v>0</v>
      </c>
      <c r="F27" s="167">
        <f>'10.Grain Production details'!F58</f>
        <v>0</v>
      </c>
      <c r="G27" s="167">
        <f>'10.Grain Production details'!G58</f>
        <v>0</v>
      </c>
      <c r="H27" s="167">
        <f>'10.Grain Production details'!H58</f>
        <v>0</v>
      </c>
    </row>
    <row r="28" spans="1:8" hidden="1">
      <c r="A28" s="167" t="str">
        <f>'10.Grain Production details'!A59</f>
        <v>Groundnut</v>
      </c>
      <c r="B28" s="167">
        <f>'10.Grain Production details'!B59</f>
        <v>0</v>
      </c>
      <c r="C28" s="167">
        <f>'10.Grain Production details'!C59</f>
        <v>0</v>
      </c>
      <c r="D28" s="167">
        <f>'10.Grain Production details'!D59</f>
        <v>0</v>
      </c>
      <c r="E28" s="167">
        <f>'10.Grain Production details'!E59</f>
        <v>0</v>
      </c>
      <c r="F28" s="167">
        <f>'10.Grain Production details'!F59</f>
        <v>0</v>
      </c>
      <c r="G28" s="167">
        <f>'10.Grain Production details'!G59</f>
        <v>0</v>
      </c>
      <c r="H28" s="167">
        <f>'10.Grain Production details'!H59</f>
        <v>0</v>
      </c>
    </row>
    <row r="29" spans="1:8" hidden="1">
      <c r="A29" s="167">
        <f>'10.Grain Production details'!A60</f>
        <v>0</v>
      </c>
      <c r="B29" s="167">
        <f>'10.Grain Production details'!B60</f>
        <v>0</v>
      </c>
      <c r="C29" s="167">
        <f>'10.Grain Production details'!C60</f>
        <v>0</v>
      </c>
      <c r="D29" s="167">
        <f>'10.Grain Production details'!D60</f>
        <v>0</v>
      </c>
      <c r="E29" s="167">
        <f>'10.Grain Production details'!E60</f>
        <v>0</v>
      </c>
      <c r="F29" s="167">
        <f>'10.Grain Production details'!F60</f>
        <v>0</v>
      </c>
      <c r="G29" s="167">
        <f>'10.Grain Production details'!G60</f>
        <v>0</v>
      </c>
      <c r="H29" s="167">
        <f>'10.Grain Production details'!H60</f>
        <v>0</v>
      </c>
    </row>
    <row r="30" spans="1:8" hidden="1">
      <c r="A30" s="167">
        <f>'10.Grain Production details'!A61</f>
        <v>0</v>
      </c>
      <c r="B30" s="167">
        <f>'10.Grain Production details'!B61</f>
        <v>0</v>
      </c>
      <c r="C30" s="167">
        <f>'10.Grain Production details'!C61</f>
        <v>0</v>
      </c>
      <c r="D30" s="167">
        <f>'10.Grain Production details'!D61</f>
        <v>0</v>
      </c>
      <c r="E30" s="167">
        <f>'10.Grain Production details'!E61</f>
        <v>0</v>
      </c>
      <c r="F30" s="167">
        <f>'10.Grain Production details'!F61</f>
        <v>0</v>
      </c>
      <c r="G30" s="167">
        <f>'10.Grain Production details'!G61</f>
        <v>0</v>
      </c>
      <c r="H30" s="167">
        <f>'10.Grain Production details'!H61</f>
        <v>0</v>
      </c>
    </row>
    <row r="31" spans="1:8" hidden="1">
      <c r="A31" s="167">
        <f>'10.Grain Production details'!A62</f>
        <v>0</v>
      </c>
      <c r="B31" s="167">
        <f>'10.Grain Production details'!B62</f>
        <v>0</v>
      </c>
      <c r="C31" s="167">
        <f>'10.Grain Production details'!C62</f>
        <v>0</v>
      </c>
      <c r="D31" s="167">
        <f>'10.Grain Production details'!D62</f>
        <v>0</v>
      </c>
      <c r="E31" s="167">
        <f>'10.Grain Production details'!E62</f>
        <v>0</v>
      </c>
      <c r="F31" s="167">
        <f>'10.Grain Production details'!F62</f>
        <v>0</v>
      </c>
      <c r="G31" s="167">
        <f>'10.Grain Production details'!G62</f>
        <v>0</v>
      </c>
      <c r="H31" s="167">
        <f>'10.Grain Production details'!H62</f>
        <v>0</v>
      </c>
    </row>
    <row r="32" spans="1:8">
      <c r="A32" s="167">
        <f>'10.Grain Production details'!B63</f>
        <v>0</v>
      </c>
      <c r="B32" s="167">
        <f>'10.Grain Production details'!C63</f>
        <v>0</v>
      </c>
      <c r="C32" s="167">
        <f>'10.Grain Production details'!D63</f>
        <v>0</v>
      </c>
      <c r="D32" s="167">
        <f>'10.Grain Production details'!E63</f>
        <v>0</v>
      </c>
      <c r="E32" s="167">
        <f>'10.Grain Production details'!F63</f>
        <v>0</v>
      </c>
      <c r="F32" s="167">
        <f>'10.Grain Production details'!G63</f>
        <v>0</v>
      </c>
      <c r="G32" s="167">
        <f>'10.Grain Production details'!H63</f>
        <v>0</v>
      </c>
      <c r="H32" s="167">
        <f>'10.Grain Production details'!I63</f>
        <v>0</v>
      </c>
    </row>
    <row r="33" spans="1:8">
      <c r="A33" s="75" t="s">
        <v>507</v>
      </c>
      <c r="B33" s="167">
        <f>SUM(B11:B32)</f>
        <v>10418.366399999999</v>
      </c>
      <c r="C33" s="167">
        <f t="shared" ref="C33:H33" si="1">SUM(C11:C32)</f>
        <v>12154.7608</v>
      </c>
      <c r="D33" s="167">
        <f t="shared" si="1"/>
        <v>13891.155199999999</v>
      </c>
      <c r="E33" s="167">
        <f t="shared" si="1"/>
        <v>15627.549599999998</v>
      </c>
      <c r="F33" s="167">
        <f t="shared" si="1"/>
        <v>17363.943999999996</v>
      </c>
      <c r="G33" s="167">
        <f t="shared" si="1"/>
        <v>19100.338400000001</v>
      </c>
      <c r="H33" s="167">
        <f t="shared" si="1"/>
        <v>20836.732800000002</v>
      </c>
    </row>
    <row r="34" spans="1:8" hidden="1">
      <c r="A34" s="167" t="str">
        <f>'11.F&amp;V Crop Production details'!A1:H1</f>
        <v>Fruit  &amp; Vegetables Crop Production Details</v>
      </c>
      <c r="B34" s="167"/>
      <c r="C34" s="167"/>
      <c r="D34" s="167"/>
      <c r="E34" s="167"/>
      <c r="F34" s="167"/>
      <c r="G34" s="167"/>
      <c r="H34" s="167"/>
    </row>
    <row r="35" spans="1:8" hidden="1">
      <c r="A35" s="167" t="str">
        <f>'11.F&amp;V Crop Production details'!A46</f>
        <v>Onion</v>
      </c>
      <c r="B35" s="167">
        <f>'11.F&amp;V Crop Production details'!B46</f>
        <v>0</v>
      </c>
      <c r="C35" s="167">
        <f>'11.F&amp;V Crop Production details'!C46</f>
        <v>0</v>
      </c>
      <c r="D35" s="167">
        <f>'11.F&amp;V Crop Production details'!D46</f>
        <v>0</v>
      </c>
      <c r="E35" s="167">
        <f>'11.F&amp;V Crop Production details'!E46</f>
        <v>0</v>
      </c>
      <c r="F35" s="167">
        <f>'11.F&amp;V Crop Production details'!F46</f>
        <v>0</v>
      </c>
      <c r="G35" s="167">
        <f>'11.F&amp;V Crop Production details'!G46</f>
        <v>0</v>
      </c>
      <c r="H35" s="167">
        <f>'11.F&amp;V Crop Production details'!H46</f>
        <v>0</v>
      </c>
    </row>
    <row r="36" spans="1:8" hidden="1">
      <c r="A36" s="167" t="str">
        <f>'11.F&amp;V Crop Production details'!A47</f>
        <v>Tomato</v>
      </c>
      <c r="B36" s="167">
        <f>'11.F&amp;V Crop Production details'!B47</f>
        <v>0</v>
      </c>
      <c r="C36" s="167">
        <f>'11.F&amp;V Crop Production details'!C47</f>
        <v>0</v>
      </c>
      <c r="D36" s="167">
        <f>'11.F&amp;V Crop Production details'!D47</f>
        <v>0</v>
      </c>
      <c r="E36" s="167">
        <f>'11.F&amp;V Crop Production details'!E47</f>
        <v>0</v>
      </c>
      <c r="F36" s="167">
        <f>'11.F&amp;V Crop Production details'!F47</f>
        <v>0</v>
      </c>
      <c r="G36" s="167">
        <f>'11.F&amp;V Crop Production details'!G47</f>
        <v>0</v>
      </c>
      <c r="H36" s="167">
        <f>'11.F&amp;V Crop Production details'!H47</f>
        <v>0</v>
      </c>
    </row>
    <row r="37" spans="1:8" hidden="1">
      <c r="A37" s="167" t="str">
        <f>'11.F&amp;V Crop Production details'!A48</f>
        <v>Okra</v>
      </c>
      <c r="B37" s="167">
        <f>'11.F&amp;V Crop Production details'!B48</f>
        <v>0</v>
      </c>
      <c r="C37" s="167">
        <f>'11.F&amp;V Crop Production details'!C48</f>
        <v>0</v>
      </c>
      <c r="D37" s="167">
        <f>'11.F&amp;V Crop Production details'!D48</f>
        <v>0</v>
      </c>
      <c r="E37" s="167">
        <f>'11.F&amp;V Crop Production details'!E48</f>
        <v>0</v>
      </c>
      <c r="F37" s="167">
        <f>'11.F&amp;V Crop Production details'!F48</f>
        <v>0</v>
      </c>
      <c r="G37" s="167">
        <f>'11.F&amp;V Crop Production details'!G48</f>
        <v>0</v>
      </c>
      <c r="H37" s="167">
        <f>'11.F&amp;V Crop Production details'!H48</f>
        <v>0</v>
      </c>
    </row>
    <row r="38" spans="1:8" hidden="1">
      <c r="A38" s="167" t="str">
        <f>'11.F&amp;V Crop Production details'!A49</f>
        <v>Chilli</v>
      </c>
      <c r="B38" s="167">
        <f>'11.F&amp;V Crop Production details'!B49</f>
        <v>0</v>
      </c>
      <c r="C38" s="167">
        <f>'11.F&amp;V Crop Production details'!C49</f>
        <v>0</v>
      </c>
      <c r="D38" s="167">
        <f>'11.F&amp;V Crop Production details'!D49</f>
        <v>0</v>
      </c>
      <c r="E38" s="167">
        <f>'11.F&amp;V Crop Production details'!E49</f>
        <v>0</v>
      </c>
      <c r="F38" s="167">
        <f>'11.F&amp;V Crop Production details'!F49</f>
        <v>0</v>
      </c>
      <c r="G38" s="167">
        <f>'11.F&amp;V Crop Production details'!G49</f>
        <v>0</v>
      </c>
      <c r="H38" s="167">
        <f>'11.F&amp;V Crop Production details'!H49</f>
        <v>0</v>
      </c>
    </row>
    <row r="39" spans="1:8" hidden="1">
      <c r="A39" s="167" t="str">
        <f>'11.F&amp;V Crop Production details'!A50</f>
        <v>Potato</v>
      </c>
      <c r="B39" s="167">
        <f>'11.F&amp;V Crop Production details'!B50</f>
        <v>0</v>
      </c>
      <c r="C39" s="167">
        <f>'11.F&amp;V Crop Production details'!C50</f>
        <v>0</v>
      </c>
      <c r="D39" s="167">
        <f>'11.F&amp;V Crop Production details'!D50</f>
        <v>0</v>
      </c>
      <c r="E39" s="167">
        <f>'11.F&amp;V Crop Production details'!E50</f>
        <v>0</v>
      </c>
      <c r="F39" s="167">
        <f>'11.F&amp;V Crop Production details'!F50</f>
        <v>0</v>
      </c>
      <c r="G39" s="167">
        <f>'11.F&amp;V Crop Production details'!G50</f>
        <v>0</v>
      </c>
      <c r="H39" s="167">
        <f>'11.F&amp;V Crop Production details'!H50</f>
        <v>0</v>
      </c>
    </row>
    <row r="40" spans="1:8" hidden="1">
      <c r="A40" s="167">
        <f>'11.F&amp;V Crop Production details'!A51</f>
        <v>0</v>
      </c>
      <c r="B40" s="167">
        <f>'11.F&amp;V Crop Production details'!B51</f>
        <v>0</v>
      </c>
      <c r="C40" s="167">
        <f>'11.F&amp;V Crop Production details'!C51</f>
        <v>0</v>
      </c>
      <c r="D40" s="167">
        <f>'11.F&amp;V Crop Production details'!D51</f>
        <v>0</v>
      </c>
      <c r="E40" s="167">
        <f>'11.F&amp;V Crop Production details'!E51</f>
        <v>0</v>
      </c>
      <c r="F40" s="167">
        <f>'11.F&amp;V Crop Production details'!F51</f>
        <v>0</v>
      </c>
      <c r="G40" s="167">
        <f>'11.F&amp;V Crop Production details'!G51</f>
        <v>0</v>
      </c>
      <c r="H40" s="167">
        <f>'11.F&amp;V Crop Production details'!H51</f>
        <v>0</v>
      </c>
    </row>
    <row r="41" spans="1:8" hidden="1">
      <c r="A41" s="167">
        <f>'11.F&amp;V Crop Production details'!A52</f>
        <v>0</v>
      </c>
      <c r="B41" s="167">
        <f>'11.F&amp;V Crop Production details'!B52</f>
        <v>0</v>
      </c>
      <c r="C41" s="167">
        <f>'11.F&amp;V Crop Production details'!C52</f>
        <v>0</v>
      </c>
      <c r="D41" s="167">
        <f>'11.F&amp;V Crop Production details'!D52</f>
        <v>0</v>
      </c>
      <c r="E41" s="167">
        <f>'11.F&amp;V Crop Production details'!E52</f>
        <v>0</v>
      </c>
      <c r="F41" s="167">
        <f>'11.F&amp;V Crop Production details'!F52</f>
        <v>0</v>
      </c>
      <c r="G41" s="167">
        <f>'11.F&amp;V Crop Production details'!G52</f>
        <v>0</v>
      </c>
      <c r="H41" s="167">
        <f>'11.F&amp;V Crop Production details'!H52</f>
        <v>0</v>
      </c>
    </row>
    <row r="42" spans="1:8" hidden="1">
      <c r="A42" s="167">
        <f>'11.F&amp;V Crop Production details'!A53</f>
        <v>0</v>
      </c>
      <c r="B42" s="167">
        <f>'11.F&amp;V Crop Production details'!B53</f>
        <v>0</v>
      </c>
      <c r="C42" s="167">
        <f>'11.F&amp;V Crop Production details'!C53</f>
        <v>0</v>
      </c>
      <c r="D42" s="167">
        <f>'11.F&amp;V Crop Production details'!D53</f>
        <v>0</v>
      </c>
      <c r="E42" s="167">
        <f>'11.F&amp;V Crop Production details'!E53</f>
        <v>0</v>
      </c>
      <c r="F42" s="167">
        <f>'11.F&amp;V Crop Production details'!F53</f>
        <v>0</v>
      </c>
      <c r="G42" s="167">
        <f>'11.F&amp;V Crop Production details'!G53</f>
        <v>0</v>
      </c>
      <c r="H42" s="167">
        <f>'11.F&amp;V Crop Production details'!H53</f>
        <v>0</v>
      </c>
    </row>
    <row r="43" spans="1:8" hidden="1">
      <c r="A43" s="167">
        <f>'11.F&amp;V Crop Production details'!A54</f>
        <v>0</v>
      </c>
      <c r="B43" s="167">
        <f>'11.F&amp;V Crop Production details'!B54</f>
        <v>0</v>
      </c>
      <c r="C43" s="167">
        <f>'11.F&amp;V Crop Production details'!C54</f>
        <v>0</v>
      </c>
      <c r="D43" s="167">
        <f>'11.F&amp;V Crop Production details'!D54</f>
        <v>0</v>
      </c>
      <c r="E43" s="167">
        <f>'11.F&amp;V Crop Production details'!E54</f>
        <v>0</v>
      </c>
      <c r="F43" s="167">
        <f>'11.F&amp;V Crop Production details'!F54</f>
        <v>0</v>
      </c>
      <c r="G43" s="167">
        <f>'11.F&amp;V Crop Production details'!G54</f>
        <v>0</v>
      </c>
      <c r="H43" s="167">
        <f>'11.F&amp;V Crop Production details'!H54</f>
        <v>0</v>
      </c>
    </row>
    <row r="44" spans="1:8" hidden="1">
      <c r="A44" s="167" t="str">
        <f>'11.F&amp;V Crop Production details'!A55</f>
        <v>Onion</v>
      </c>
      <c r="B44" s="167">
        <f>'11.F&amp;V Crop Production details'!B55</f>
        <v>0</v>
      </c>
      <c r="C44" s="167">
        <f>'11.F&amp;V Crop Production details'!C55</f>
        <v>0</v>
      </c>
      <c r="D44" s="167">
        <f>'11.F&amp;V Crop Production details'!D55</f>
        <v>0</v>
      </c>
      <c r="E44" s="167">
        <f>'11.F&amp;V Crop Production details'!E55</f>
        <v>0</v>
      </c>
      <c r="F44" s="167">
        <f>'11.F&amp;V Crop Production details'!F55</f>
        <v>0</v>
      </c>
      <c r="G44" s="167">
        <f>'11.F&amp;V Crop Production details'!G55</f>
        <v>0</v>
      </c>
      <c r="H44" s="167">
        <f>'11.F&amp;V Crop Production details'!H55</f>
        <v>0</v>
      </c>
    </row>
    <row r="45" spans="1:8" hidden="1">
      <c r="A45" s="167" t="str">
        <f>'11.F&amp;V Crop Production details'!A56</f>
        <v>Tomato</v>
      </c>
      <c r="B45" s="167">
        <f>'11.F&amp;V Crop Production details'!B56</f>
        <v>0</v>
      </c>
      <c r="C45" s="167">
        <f>'11.F&amp;V Crop Production details'!C56</f>
        <v>0</v>
      </c>
      <c r="D45" s="167">
        <f>'11.F&amp;V Crop Production details'!D56</f>
        <v>0</v>
      </c>
      <c r="E45" s="167">
        <f>'11.F&amp;V Crop Production details'!E56</f>
        <v>0</v>
      </c>
      <c r="F45" s="167">
        <f>'11.F&amp;V Crop Production details'!F56</f>
        <v>0</v>
      </c>
      <c r="G45" s="167">
        <f>'11.F&amp;V Crop Production details'!G56</f>
        <v>0</v>
      </c>
      <c r="H45" s="167">
        <f>'11.F&amp;V Crop Production details'!H56</f>
        <v>0</v>
      </c>
    </row>
    <row r="46" spans="1:8" hidden="1">
      <c r="A46" s="167" t="str">
        <f>'11.F&amp;V Crop Production details'!A57</f>
        <v>Okra</v>
      </c>
      <c r="B46" s="167">
        <f>'11.F&amp;V Crop Production details'!B57</f>
        <v>0</v>
      </c>
      <c r="C46" s="167">
        <f>'11.F&amp;V Crop Production details'!C57</f>
        <v>0</v>
      </c>
      <c r="D46" s="167">
        <f>'11.F&amp;V Crop Production details'!D57</f>
        <v>0</v>
      </c>
      <c r="E46" s="167">
        <f>'11.F&amp;V Crop Production details'!E57</f>
        <v>0</v>
      </c>
      <c r="F46" s="167">
        <f>'11.F&amp;V Crop Production details'!F57</f>
        <v>0</v>
      </c>
      <c r="G46" s="167">
        <f>'11.F&amp;V Crop Production details'!G57</f>
        <v>0</v>
      </c>
      <c r="H46" s="167">
        <f>'11.F&amp;V Crop Production details'!H57</f>
        <v>0</v>
      </c>
    </row>
    <row r="47" spans="1:8" hidden="1">
      <c r="A47" s="167" t="str">
        <f>'11.F&amp;V Crop Production details'!A58</f>
        <v>Chilli</v>
      </c>
      <c r="B47" s="167">
        <f>'11.F&amp;V Crop Production details'!B58</f>
        <v>0</v>
      </c>
      <c r="C47" s="167">
        <f>'11.F&amp;V Crop Production details'!C58</f>
        <v>0</v>
      </c>
      <c r="D47" s="167">
        <f>'11.F&amp;V Crop Production details'!D58</f>
        <v>0</v>
      </c>
      <c r="E47" s="167">
        <f>'11.F&amp;V Crop Production details'!E58</f>
        <v>0</v>
      </c>
      <c r="F47" s="167">
        <f>'11.F&amp;V Crop Production details'!F58</f>
        <v>0</v>
      </c>
      <c r="G47" s="167">
        <f>'11.F&amp;V Crop Production details'!G58</f>
        <v>0</v>
      </c>
      <c r="H47" s="167">
        <f>'11.F&amp;V Crop Production details'!H58</f>
        <v>0</v>
      </c>
    </row>
    <row r="48" spans="1:8" hidden="1">
      <c r="A48" s="167" t="str">
        <f>'11.F&amp;V Crop Production details'!A59</f>
        <v>Brinjal</v>
      </c>
      <c r="B48" s="167">
        <f>'11.F&amp;V Crop Production details'!B59</f>
        <v>0</v>
      </c>
      <c r="C48" s="167">
        <f>'11.F&amp;V Crop Production details'!C59</f>
        <v>0</v>
      </c>
      <c r="D48" s="167">
        <f>'11.F&amp;V Crop Production details'!D59</f>
        <v>0</v>
      </c>
      <c r="E48" s="167">
        <f>'11.F&amp;V Crop Production details'!E59</f>
        <v>0</v>
      </c>
      <c r="F48" s="167">
        <f>'11.F&amp;V Crop Production details'!F59</f>
        <v>0</v>
      </c>
      <c r="G48" s="167">
        <f>'11.F&amp;V Crop Production details'!G59</f>
        <v>0</v>
      </c>
      <c r="H48" s="167">
        <f>'11.F&amp;V Crop Production details'!H59</f>
        <v>0</v>
      </c>
    </row>
    <row r="49" spans="1:8" hidden="1">
      <c r="A49" s="167">
        <f>'11.F&amp;V Crop Production details'!A60</f>
        <v>0</v>
      </c>
      <c r="B49" s="167">
        <f>'11.F&amp;V Crop Production details'!B60</f>
        <v>0</v>
      </c>
      <c r="C49" s="167">
        <f>'11.F&amp;V Crop Production details'!C60</f>
        <v>0</v>
      </c>
      <c r="D49" s="167">
        <f>'11.F&amp;V Crop Production details'!D60</f>
        <v>0</v>
      </c>
      <c r="E49" s="167">
        <f>'11.F&amp;V Crop Production details'!E60</f>
        <v>0</v>
      </c>
      <c r="F49" s="167">
        <f>'11.F&amp;V Crop Production details'!F60</f>
        <v>0</v>
      </c>
      <c r="G49" s="167">
        <f>'11.F&amp;V Crop Production details'!G60</f>
        <v>0</v>
      </c>
      <c r="H49" s="167">
        <f>'11.F&amp;V Crop Production details'!H60</f>
        <v>0</v>
      </c>
    </row>
    <row r="50" spans="1:8" hidden="1">
      <c r="A50" s="167">
        <f>'11.F&amp;V Crop Production details'!A61</f>
        <v>0</v>
      </c>
      <c r="B50" s="167">
        <f>'11.F&amp;V Crop Production details'!B61</f>
        <v>0</v>
      </c>
      <c r="C50" s="167">
        <f>'11.F&amp;V Crop Production details'!C61</f>
        <v>0</v>
      </c>
      <c r="D50" s="167">
        <f>'11.F&amp;V Crop Production details'!D61</f>
        <v>0</v>
      </c>
      <c r="E50" s="167">
        <f>'11.F&amp;V Crop Production details'!E61</f>
        <v>0</v>
      </c>
      <c r="F50" s="167">
        <f>'11.F&amp;V Crop Production details'!F61</f>
        <v>0</v>
      </c>
      <c r="G50" s="167">
        <f>'11.F&amp;V Crop Production details'!G61</f>
        <v>0</v>
      </c>
      <c r="H50" s="167">
        <f>'11.F&amp;V Crop Production details'!H61</f>
        <v>0</v>
      </c>
    </row>
    <row r="51" spans="1:8" hidden="1">
      <c r="A51" s="167">
        <f>'11.F&amp;V Crop Production details'!A62</f>
        <v>0</v>
      </c>
      <c r="B51" s="167">
        <f>'11.F&amp;V Crop Production details'!B62</f>
        <v>0</v>
      </c>
      <c r="C51" s="167">
        <f>'11.F&amp;V Crop Production details'!C62</f>
        <v>0</v>
      </c>
      <c r="D51" s="167">
        <f>'11.F&amp;V Crop Production details'!D62</f>
        <v>0</v>
      </c>
      <c r="E51" s="167">
        <f>'11.F&amp;V Crop Production details'!E62</f>
        <v>0</v>
      </c>
      <c r="F51" s="167">
        <f>'11.F&amp;V Crop Production details'!F62</f>
        <v>0</v>
      </c>
      <c r="G51" s="167">
        <f>'11.F&amp;V Crop Production details'!G62</f>
        <v>0</v>
      </c>
      <c r="H51" s="167">
        <f>'11.F&amp;V Crop Production details'!H62</f>
        <v>0</v>
      </c>
    </row>
    <row r="52" spans="1:8" hidden="1">
      <c r="A52" s="167">
        <f>'11.F&amp;V Crop Production details'!A63</f>
        <v>0</v>
      </c>
      <c r="B52" s="167">
        <f>'11.F&amp;V Crop Production details'!B63</f>
        <v>0</v>
      </c>
      <c r="C52" s="167">
        <f>'11.F&amp;V Crop Production details'!C63</f>
        <v>0</v>
      </c>
      <c r="D52" s="167">
        <f>'11.F&amp;V Crop Production details'!D63</f>
        <v>0</v>
      </c>
      <c r="E52" s="167">
        <f>'11.F&amp;V Crop Production details'!E63</f>
        <v>0</v>
      </c>
      <c r="F52" s="167">
        <f>'11.F&amp;V Crop Production details'!F63</f>
        <v>0</v>
      </c>
      <c r="G52" s="167">
        <f>'11.F&amp;V Crop Production details'!G63</f>
        <v>0</v>
      </c>
      <c r="H52" s="167">
        <f>'11.F&amp;V Crop Production details'!H63</f>
        <v>0</v>
      </c>
    </row>
    <row r="53" spans="1:8" hidden="1">
      <c r="A53" s="167">
        <f>'11.F&amp;V Crop Production details'!A64</f>
        <v>0</v>
      </c>
      <c r="B53" s="167"/>
      <c r="C53" s="167"/>
      <c r="D53" s="167"/>
      <c r="E53" s="167"/>
      <c r="F53" s="167"/>
      <c r="G53" s="167"/>
      <c r="H53" s="167"/>
    </row>
    <row r="54" spans="1:8" hidden="1">
      <c r="A54" s="167">
        <f>'11.F&amp;V Crop Production details'!A65</f>
        <v>0</v>
      </c>
      <c r="B54" s="167"/>
      <c r="C54" s="167"/>
      <c r="D54" s="167"/>
      <c r="E54" s="167"/>
      <c r="F54" s="167"/>
      <c r="G54" s="167"/>
      <c r="H54" s="167"/>
    </row>
    <row r="55" spans="1:8" hidden="1">
      <c r="A55" s="167">
        <f>'11.F&amp;V Crop Production details'!A66</f>
        <v>0</v>
      </c>
      <c r="B55" s="167"/>
      <c r="C55" s="167"/>
      <c r="D55" s="167"/>
      <c r="E55" s="167"/>
      <c r="F55" s="167"/>
      <c r="G55" s="167"/>
      <c r="H55" s="167"/>
    </row>
    <row r="56" spans="1:8" hidden="1">
      <c r="A56" s="167" t="str">
        <f>'11.F&amp;V Crop Production details'!A67</f>
        <v>Pomegranate</v>
      </c>
      <c r="B56" s="167">
        <f>'11.F&amp;V Crop Production details'!B67</f>
        <v>0</v>
      </c>
      <c r="C56" s="167">
        <f>'11.F&amp;V Crop Production details'!C67</f>
        <v>0</v>
      </c>
      <c r="D56" s="167">
        <f>'11.F&amp;V Crop Production details'!D67</f>
        <v>0</v>
      </c>
      <c r="E56" s="167">
        <f>'11.F&amp;V Crop Production details'!E67</f>
        <v>0</v>
      </c>
      <c r="F56" s="167">
        <f>'11.F&amp;V Crop Production details'!F67</f>
        <v>0</v>
      </c>
      <c r="G56" s="167">
        <f>'11.F&amp;V Crop Production details'!G67</f>
        <v>0</v>
      </c>
      <c r="H56" s="167">
        <f>'11.F&amp;V Crop Production details'!H67</f>
        <v>0</v>
      </c>
    </row>
    <row r="57" spans="1:8" hidden="1">
      <c r="A57" s="167" t="str">
        <f>'11.F&amp;V Crop Production details'!A68</f>
        <v>Custard Apple</v>
      </c>
      <c r="B57" s="167">
        <f>'11.F&amp;V Crop Production details'!B68</f>
        <v>0</v>
      </c>
      <c r="C57" s="167">
        <f>'11.F&amp;V Crop Production details'!C68</f>
        <v>0</v>
      </c>
      <c r="D57" s="167">
        <f>'11.F&amp;V Crop Production details'!D68</f>
        <v>0</v>
      </c>
      <c r="E57" s="167">
        <f>'11.F&amp;V Crop Production details'!E68</f>
        <v>0</v>
      </c>
      <c r="F57" s="167">
        <f>'11.F&amp;V Crop Production details'!F68</f>
        <v>0</v>
      </c>
      <c r="G57" s="167">
        <f>'11.F&amp;V Crop Production details'!G68</f>
        <v>0</v>
      </c>
      <c r="H57" s="167">
        <f>'11.F&amp;V Crop Production details'!H68</f>
        <v>0</v>
      </c>
    </row>
    <row r="58" spans="1:8" hidden="1">
      <c r="A58" s="167" t="str">
        <f>'11.F&amp;V Crop Production details'!A69</f>
        <v>Guava</v>
      </c>
      <c r="B58" s="167">
        <f>'11.F&amp;V Crop Production details'!B69</f>
        <v>0</v>
      </c>
      <c r="C58" s="167">
        <f>'11.F&amp;V Crop Production details'!C69</f>
        <v>0</v>
      </c>
      <c r="D58" s="167">
        <f>'11.F&amp;V Crop Production details'!D69</f>
        <v>0</v>
      </c>
      <c r="E58" s="167">
        <f>'11.F&amp;V Crop Production details'!E69</f>
        <v>0</v>
      </c>
      <c r="F58" s="167">
        <f>'11.F&amp;V Crop Production details'!F69</f>
        <v>0</v>
      </c>
      <c r="G58" s="167">
        <f>'11.F&amp;V Crop Production details'!G69</f>
        <v>0</v>
      </c>
      <c r="H58" s="167">
        <f>'11.F&amp;V Crop Production details'!H69</f>
        <v>0</v>
      </c>
    </row>
    <row r="59" spans="1:8" hidden="1">
      <c r="A59" s="167" t="str">
        <f>'11.F&amp;V Crop Production details'!A70</f>
        <v>Citrus</v>
      </c>
      <c r="B59" s="167">
        <f>'11.F&amp;V Crop Production details'!B70</f>
        <v>0</v>
      </c>
      <c r="C59" s="167">
        <f>'11.F&amp;V Crop Production details'!C70</f>
        <v>0</v>
      </c>
      <c r="D59" s="167">
        <f>'11.F&amp;V Crop Production details'!D70</f>
        <v>0</v>
      </c>
      <c r="E59" s="167">
        <f>'11.F&amp;V Crop Production details'!E70</f>
        <v>0</v>
      </c>
      <c r="F59" s="167">
        <f>'11.F&amp;V Crop Production details'!F70</f>
        <v>0</v>
      </c>
      <c r="G59" s="167">
        <f>'11.F&amp;V Crop Production details'!G70</f>
        <v>0</v>
      </c>
      <c r="H59" s="167">
        <f>'11.F&amp;V Crop Production details'!H70</f>
        <v>0</v>
      </c>
    </row>
    <row r="60" spans="1:8" hidden="1">
      <c r="A60" s="167"/>
      <c r="B60" s="167"/>
      <c r="C60" s="167"/>
      <c r="D60" s="167"/>
      <c r="E60" s="167"/>
      <c r="F60" s="167"/>
      <c r="G60" s="167"/>
      <c r="H60" s="167"/>
    </row>
    <row r="61" spans="1:8" hidden="1">
      <c r="A61" s="75" t="s">
        <v>506</v>
      </c>
      <c r="B61" s="167">
        <f t="shared" ref="B61:H61" si="2">SUM(B35:B59)</f>
        <v>0</v>
      </c>
      <c r="C61" s="167">
        <f t="shared" si="2"/>
        <v>0</v>
      </c>
      <c r="D61" s="167">
        <f t="shared" si="2"/>
        <v>0</v>
      </c>
      <c r="E61" s="167">
        <f t="shared" si="2"/>
        <v>0</v>
      </c>
      <c r="F61" s="167">
        <f t="shared" si="2"/>
        <v>0</v>
      </c>
      <c r="G61" s="167">
        <f t="shared" si="2"/>
        <v>0</v>
      </c>
      <c r="H61" s="167">
        <f t="shared" si="2"/>
        <v>0</v>
      </c>
    </row>
    <row r="62" spans="1:8" hidden="1">
      <c r="A62" s="234" t="s">
        <v>508</v>
      </c>
      <c r="B62" s="247">
        <v>0</v>
      </c>
      <c r="C62" s="247">
        <v>0</v>
      </c>
      <c r="D62" s="247">
        <v>0</v>
      </c>
      <c r="E62" s="247">
        <v>0</v>
      </c>
      <c r="F62" s="247">
        <v>0</v>
      </c>
      <c r="G62" s="247">
        <v>0</v>
      </c>
      <c r="H62" s="247">
        <v>0</v>
      </c>
    </row>
    <row r="63" spans="1:8" hidden="1">
      <c r="A63" s="234" t="s">
        <v>509</v>
      </c>
      <c r="B63" s="247">
        <f t="shared" ref="B63:H63" si="3">1-B62</f>
        <v>1</v>
      </c>
      <c r="C63" s="247">
        <f t="shared" si="3"/>
        <v>1</v>
      </c>
      <c r="D63" s="247">
        <f t="shared" si="3"/>
        <v>1</v>
      </c>
      <c r="E63" s="247">
        <f t="shared" si="3"/>
        <v>1</v>
      </c>
      <c r="F63" s="247">
        <f t="shared" si="3"/>
        <v>1</v>
      </c>
      <c r="G63" s="247">
        <f t="shared" si="3"/>
        <v>1</v>
      </c>
      <c r="H63" s="247">
        <f t="shared" si="3"/>
        <v>1</v>
      </c>
    </row>
    <row r="64" spans="1:8" hidden="1">
      <c r="A64" s="234"/>
      <c r="B64" s="247"/>
      <c r="C64" s="247"/>
      <c r="D64" s="247"/>
      <c r="E64" s="247"/>
      <c r="F64" s="247"/>
      <c r="G64" s="247"/>
      <c r="H64" s="247"/>
    </row>
    <row r="65" spans="1:8" hidden="1">
      <c r="A65" s="234" t="s">
        <v>164</v>
      </c>
      <c r="B65" s="235">
        <f t="shared" ref="B65:H65" si="4">B33*B62</f>
        <v>0</v>
      </c>
      <c r="C65" s="235">
        <f t="shared" si="4"/>
        <v>0</v>
      </c>
      <c r="D65" s="235">
        <f t="shared" si="4"/>
        <v>0</v>
      </c>
      <c r="E65" s="235">
        <f t="shared" si="4"/>
        <v>0</v>
      </c>
      <c r="F65" s="235">
        <f t="shared" si="4"/>
        <v>0</v>
      </c>
      <c r="G65" s="235">
        <f t="shared" si="4"/>
        <v>0</v>
      </c>
      <c r="H65" s="235">
        <f t="shared" si="4"/>
        <v>0</v>
      </c>
    </row>
    <row r="66" spans="1:8">
      <c r="A66" s="75"/>
      <c r="B66" s="167"/>
      <c r="C66" s="167"/>
      <c r="D66" s="167"/>
      <c r="E66" s="167"/>
      <c r="F66" s="167"/>
      <c r="G66" s="167"/>
      <c r="H66" s="167"/>
    </row>
    <row r="67" spans="1:8">
      <c r="A67" s="75" t="s">
        <v>165</v>
      </c>
      <c r="B67" s="167"/>
      <c r="C67" s="167"/>
      <c r="D67" s="167"/>
      <c r="E67" s="167"/>
      <c r="F67" s="167"/>
      <c r="G67" s="167"/>
      <c r="H67" s="167"/>
    </row>
    <row r="68" spans="1:8" hidden="1">
      <c r="A68" s="73" t="str">
        <f t="shared" ref="A68:A89" si="5">A11</f>
        <v>Soybean</v>
      </c>
      <c r="B68" s="246">
        <f t="shared" ref="B68:B89" si="6">B11*$B$63</f>
        <v>0</v>
      </c>
      <c r="C68" s="246">
        <f t="shared" ref="C68:C83" si="7">C11*$C$63</f>
        <v>0</v>
      </c>
      <c r="D68" s="246">
        <f t="shared" ref="D68:D83" si="8">D11*$D$63</f>
        <v>0</v>
      </c>
      <c r="E68" s="246">
        <f t="shared" ref="E68:E83" si="9">E11*$E$63</f>
        <v>0</v>
      </c>
      <c r="F68" s="246">
        <f t="shared" ref="F68:F83" si="10">F11*$F$63</f>
        <v>0</v>
      </c>
      <c r="G68" s="246">
        <f t="shared" ref="G68:G83" si="11">G11*$G$63</f>
        <v>0</v>
      </c>
      <c r="H68" s="246">
        <f t="shared" ref="H68:H83" si="12">H11*$H$63</f>
        <v>0</v>
      </c>
    </row>
    <row r="69" spans="1:8" hidden="1">
      <c r="A69" s="73" t="str">
        <f t="shared" si="5"/>
        <v>Red Gram/Tur</v>
      </c>
      <c r="B69" s="246">
        <f t="shared" si="6"/>
        <v>0</v>
      </c>
      <c r="C69" s="246">
        <f t="shared" si="7"/>
        <v>0</v>
      </c>
      <c r="D69" s="246">
        <f t="shared" si="8"/>
        <v>0</v>
      </c>
      <c r="E69" s="246">
        <f t="shared" si="9"/>
        <v>0</v>
      </c>
      <c r="F69" s="246">
        <f t="shared" si="10"/>
        <v>0</v>
      </c>
      <c r="G69" s="246">
        <f t="shared" si="11"/>
        <v>0</v>
      </c>
      <c r="H69" s="246">
        <f t="shared" si="12"/>
        <v>0</v>
      </c>
    </row>
    <row r="70" spans="1:8" hidden="1">
      <c r="A70" s="73" t="str">
        <f t="shared" si="5"/>
        <v>Paddy/Rice</v>
      </c>
      <c r="B70" s="246">
        <f t="shared" si="6"/>
        <v>0</v>
      </c>
      <c r="C70" s="246">
        <f t="shared" si="7"/>
        <v>0</v>
      </c>
      <c r="D70" s="246">
        <f t="shared" si="8"/>
        <v>0</v>
      </c>
      <c r="E70" s="246">
        <f t="shared" si="9"/>
        <v>0</v>
      </c>
      <c r="F70" s="246">
        <f t="shared" si="10"/>
        <v>0</v>
      </c>
      <c r="G70" s="246">
        <f t="shared" si="11"/>
        <v>0</v>
      </c>
      <c r="H70" s="246">
        <f t="shared" si="12"/>
        <v>0</v>
      </c>
    </row>
    <row r="71" spans="1:8" hidden="1">
      <c r="A71" s="73" t="str">
        <f t="shared" si="5"/>
        <v>Green Gram/ Moong</v>
      </c>
      <c r="B71" s="246">
        <f t="shared" si="6"/>
        <v>0</v>
      </c>
      <c r="C71" s="246">
        <f t="shared" si="7"/>
        <v>0</v>
      </c>
      <c r="D71" s="246">
        <f t="shared" si="8"/>
        <v>0</v>
      </c>
      <c r="E71" s="246">
        <f t="shared" si="9"/>
        <v>0</v>
      </c>
      <c r="F71" s="246">
        <f t="shared" si="10"/>
        <v>0</v>
      </c>
      <c r="G71" s="246">
        <f t="shared" si="11"/>
        <v>0</v>
      </c>
      <c r="H71" s="246">
        <f t="shared" si="12"/>
        <v>0</v>
      </c>
    </row>
    <row r="72" spans="1:8" hidden="1">
      <c r="A72" s="73" t="str">
        <f t="shared" si="5"/>
        <v>Maize</v>
      </c>
      <c r="B72" s="246">
        <f t="shared" si="6"/>
        <v>0</v>
      </c>
      <c r="C72" s="246">
        <f t="shared" si="7"/>
        <v>0</v>
      </c>
      <c r="D72" s="246">
        <f t="shared" si="8"/>
        <v>0</v>
      </c>
      <c r="E72" s="246">
        <f t="shared" si="9"/>
        <v>0</v>
      </c>
      <c r="F72" s="246">
        <f t="shared" si="10"/>
        <v>0</v>
      </c>
      <c r="G72" s="246">
        <f t="shared" si="11"/>
        <v>0</v>
      </c>
      <c r="H72" s="246">
        <f t="shared" si="12"/>
        <v>0</v>
      </c>
    </row>
    <row r="73" spans="1:8" hidden="1">
      <c r="A73" s="73" t="str">
        <f t="shared" si="5"/>
        <v>Black Gram/Udid</v>
      </c>
      <c r="B73" s="246">
        <f t="shared" si="6"/>
        <v>0</v>
      </c>
      <c r="C73" s="246">
        <f t="shared" si="7"/>
        <v>0</v>
      </c>
      <c r="D73" s="246">
        <f t="shared" si="8"/>
        <v>0</v>
      </c>
      <c r="E73" s="246">
        <f t="shared" si="9"/>
        <v>0</v>
      </c>
      <c r="F73" s="246">
        <f t="shared" si="10"/>
        <v>0</v>
      </c>
      <c r="G73" s="246">
        <f t="shared" si="11"/>
        <v>0</v>
      </c>
      <c r="H73" s="246">
        <f t="shared" si="12"/>
        <v>0</v>
      </c>
    </row>
    <row r="74" spans="1:8" hidden="1">
      <c r="A74" s="73" t="str">
        <f t="shared" si="5"/>
        <v>Bajra</v>
      </c>
      <c r="B74" s="246">
        <f t="shared" si="6"/>
        <v>0</v>
      </c>
      <c r="C74" s="246">
        <f t="shared" si="7"/>
        <v>0</v>
      </c>
      <c r="D74" s="246">
        <f t="shared" si="8"/>
        <v>0</v>
      </c>
      <c r="E74" s="246">
        <f t="shared" si="9"/>
        <v>0</v>
      </c>
      <c r="F74" s="246">
        <f t="shared" si="10"/>
        <v>0</v>
      </c>
      <c r="G74" s="246">
        <f t="shared" si="11"/>
        <v>0</v>
      </c>
      <c r="H74" s="246">
        <f t="shared" si="12"/>
        <v>0</v>
      </c>
    </row>
    <row r="75" spans="1:8">
      <c r="A75" s="73" t="str">
        <f t="shared" si="5"/>
        <v>Jawar</v>
      </c>
      <c r="B75" s="246">
        <f t="shared" si="6"/>
        <v>3880.5</v>
      </c>
      <c r="C75" s="246">
        <f t="shared" si="7"/>
        <v>4527.25</v>
      </c>
      <c r="D75" s="246">
        <f t="shared" si="8"/>
        <v>5174</v>
      </c>
      <c r="E75" s="246">
        <f t="shared" si="9"/>
        <v>5820.75</v>
      </c>
      <c r="F75" s="246">
        <f t="shared" si="10"/>
        <v>6467.5</v>
      </c>
      <c r="G75" s="246">
        <f t="shared" si="11"/>
        <v>7114.25</v>
      </c>
      <c r="H75" s="246">
        <f t="shared" si="12"/>
        <v>7761.0000000000009</v>
      </c>
    </row>
    <row r="76" spans="1:8" hidden="1">
      <c r="A76" s="73" t="str">
        <f t="shared" si="5"/>
        <v>Sunflower</v>
      </c>
      <c r="B76" s="246">
        <f t="shared" si="6"/>
        <v>0</v>
      </c>
      <c r="C76" s="246">
        <f t="shared" si="7"/>
        <v>0</v>
      </c>
      <c r="D76" s="246">
        <f t="shared" si="8"/>
        <v>0</v>
      </c>
      <c r="E76" s="246">
        <f t="shared" si="9"/>
        <v>0</v>
      </c>
      <c r="F76" s="246">
        <f t="shared" si="10"/>
        <v>0</v>
      </c>
      <c r="G76" s="246">
        <f t="shared" si="11"/>
        <v>0</v>
      </c>
      <c r="H76" s="246">
        <f t="shared" si="12"/>
        <v>0</v>
      </c>
    </row>
    <row r="77" spans="1:8">
      <c r="A77" s="73" t="str">
        <f t="shared" si="5"/>
        <v>Wheat</v>
      </c>
      <c r="B77" s="246">
        <f t="shared" si="6"/>
        <v>6537.8663999999999</v>
      </c>
      <c r="C77" s="246">
        <f t="shared" si="7"/>
        <v>7627.5107999999991</v>
      </c>
      <c r="D77" s="246">
        <f t="shared" si="8"/>
        <v>8717.1551999999992</v>
      </c>
      <c r="E77" s="246">
        <f t="shared" si="9"/>
        <v>9806.7995999999985</v>
      </c>
      <c r="F77" s="246">
        <f t="shared" si="10"/>
        <v>10896.443999999998</v>
      </c>
      <c r="G77" s="246">
        <f t="shared" si="11"/>
        <v>11986.088399999999</v>
      </c>
      <c r="H77" s="246">
        <f t="shared" si="12"/>
        <v>13075.7328</v>
      </c>
    </row>
    <row r="78" spans="1:8" hidden="1">
      <c r="A78" s="73" t="str">
        <f t="shared" si="5"/>
        <v>Bengal Gram/Channa</v>
      </c>
      <c r="B78" s="246">
        <f t="shared" si="6"/>
        <v>0</v>
      </c>
      <c r="C78" s="246">
        <f t="shared" si="7"/>
        <v>0</v>
      </c>
      <c r="D78" s="246">
        <f t="shared" si="8"/>
        <v>0</v>
      </c>
      <c r="E78" s="246">
        <f t="shared" si="9"/>
        <v>0</v>
      </c>
      <c r="F78" s="246">
        <f t="shared" si="10"/>
        <v>0</v>
      </c>
      <c r="G78" s="246">
        <f t="shared" si="11"/>
        <v>0</v>
      </c>
      <c r="H78" s="246">
        <f t="shared" si="12"/>
        <v>0</v>
      </c>
    </row>
    <row r="79" spans="1:8" hidden="1">
      <c r="A79" s="73" t="str">
        <f t="shared" si="5"/>
        <v>Jawar</v>
      </c>
      <c r="B79" s="246">
        <f t="shared" si="6"/>
        <v>0</v>
      </c>
      <c r="C79" s="246">
        <f t="shared" si="7"/>
        <v>0</v>
      </c>
      <c r="D79" s="246">
        <f t="shared" si="8"/>
        <v>0</v>
      </c>
      <c r="E79" s="246">
        <f t="shared" si="9"/>
        <v>0</v>
      </c>
      <c r="F79" s="246">
        <f t="shared" si="10"/>
        <v>0</v>
      </c>
      <c r="G79" s="246">
        <f t="shared" si="11"/>
        <v>0</v>
      </c>
      <c r="H79" s="246">
        <f t="shared" si="12"/>
        <v>0</v>
      </c>
    </row>
    <row r="80" spans="1:8" hidden="1">
      <c r="A80" s="73" t="str">
        <f t="shared" si="5"/>
        <v>Maize</v>
      </c>
      <c r="B80" s="246">
        <f t="shared" si="6"/>
        <v>0</v>
      </c>
      <c r="C80" s="246">
        <f t="shared" si="7"/>
        <v>0</v>
      </c>
      <c r="D80" s="246">
        <f t="shared" si="8"/>
        <v>0</v>
      </c>
      <c r="E80" s="246">
        <f t="shared" si="9"/>
        <v>0</v>
      </c>
      <c r="F80" s="246">
        <f t="shared" si="10"/>
        <v>0</v>
      </c>
      <c r="G80" s="246">
        <f t="shared" si="11"/>
        <v>0</v>
      </c>
      <c r="H80" s="246">
        <f t="shared" si="12"/>
        <v>0</v>
      </c>
    </row>
    <row r="81" spans="1:12" hidden="1">
      <c r="A81" s="73" t="str">
        <f t="shared" si="5"/>
        <v>Safflower</v>
      </c>
      <c r="B81" s="246">
        <f t="shared" si="6"/>
        <v>0</v>
      </c>
      <c r="C81" s="246">
        <f t="shared" si="7"/>
        <v>0</v>
      </c>
      <c r="D81" s="246">
        <f t="shared" si="8"/>
        <v>0</v>
      </c>
      <c r="E81" s="246">
        <f t="shared" si="9"/>
        <v>0</v>
      </c>
      <c r="F81" s="246">
        <f t="shared" si="10"/>
        <v>0</v>
      </c>
      <c r="G81" s="246">
        <f t="shared" si="11"/>
        <v>0</v>
      </c>
      <c r="H81" s="246">
        <f t="shared" si="12"/>
        <v>0</v>
      </c>
    </row>
    <row r="82" spans="1:12" hidden="1">
      <c r="A82" s="73">
        <f t="shared" si="5"/>
        <v>0</v>
      </c>
      <c r="B82" s="246">
        <f t="shared" si="6"/>
        <v>0</v>
      </c>
      <c r="C82" s="246">
        <f t="shared" si="7"/>
        <v>0</v>
      </c>
      <c r="D82" s="246">
        <f t="shared" si="8"/>
        <v>0</v>
      </c>
      <c r="E82" s="246">
        <f t="shared" si="9"/>
        <v>0</v>
      </c>
      <c r="F82" s="246">
        <f t="shared" si="10"/>
        <v>0</v>
      </c>
      <c r="G82" s="246">
        <f t="shared" si="11"/>
        <v>0</v>
      </c>
      <c r="H82" s="246">
        <f t="shared" si="12"/>
        <v>0</v>
      </c>
    </row>
    <row r="83" spans="1:12" hidden="1">
      <c r="A83" s="73">
        <f t="shared" si="5"/>
        <v>0</v>
      </c>
      <c r="B83" s="246">
        <f t="shared" si="6"/>
        <v>0</v>
      </c>
      <c r="C83" s="246">
        <f t="shared" si="7"/>
        <v>0</v>
      </c>
      <c r="D83" s="246">
        <f t="shared" si="8"/>
        <v>0</v>
      </c>
      <c r="E83" s="246">
        <f t="shared" si="9"/>
        <v>0</v>
      </c>
      <c r="F83" s="246">
        <f t="shared" si="10"/>
        <v>0</v>
      </c>
      <c r="G83" s="246">
        <f t="shared" si="11"/>
        <v>0</v>
      </c>
      <c r="H83" s="246">
        <f t="shared" si="12"/>
        <v>0</v>
      </c>
    </row>
    <row r="84" spans="1:12" hidden="1">
      <c r="A84" s="73">
        <f t="shared" si="5"/>
        <v>0</v>
      </c>
      <c r="B84" s="246">
        <f t="shared" si="6"/>
        <v>0</v>
      </c>
      <c r="C84" s="246">
        <f t="shared" ref="C84:H89" si="13">C27*$B$63</f>
        <v>0</v>
      </c>
      <c r="D84" s="246">
        <f t="shared" si="13"/>
        <v>0</v>
      </c>
      <c r="E84" s="246">
        <f t="shared" si="13"/>
        <v>0</v>
      </c>
      <c r="F84" s="246">
        <f t="shared" si="13"/>
        <v>0</v>
      </c>
      <c r="G84" s="246">
        <f t="shared" si="13"/>
        <v>0</v>
      </c>
      <c r="H84" s="246">
        <f t="shared" si="13"/>
        <v>0</v>
      </c>
    </row>
    <row r="85" spans="1:12" hidden="1">
      <c r="A85" s="73" t="str">
        <f t="shared" si="5"/>
        <v>Groundnut</v>
      </c>
      <c r="B85" s="246">
        <f t="shared" si="6"/>
        <v>0</v>
      </c>
      <c r="C85" s="246">
        <f t="shared" si="13"/>
        <v>0</v>
      </c>
      <c r="D85" s="246">
        <f t="shared" si="13"/>
        <v>0</v>
      </c>
      <c r="E85" s="246">
        <f t="shared" si="13"/>
        <v>0</v>
      </c>
      <c r="F85" s="246">
        <f t="shared" si="13"/>
        <v>0</v>
      </c>
      <c r="G85" s="246">
        <f t="shared" si="13"/>
        <v>0</v>
      </c>
      <c r="H85" s="246">
        <f t="shared" si="13"/>
        <v>0</v>
      </c>
    </row>
    <row r="86" spans="1:12" hidden="1">
      <c r="A86" s="73">
        <f t="shared" si="5"/>
        <v>0</v>
      </c>
      <c r="B86" s="246">
        <f t="shared" si="6"/>
        <v>0</v>
      </c>
      <c r="C86" s="246">
        <f t="shared" si="13"/>
        <v>0</v>
      </c>
      <c r="D86" s="246">
        <f t="shared" si="13"/>
        <v>0</v>
      </c>
      <c r="E86" s="246">
        <f t="shared" si="13"/>
        <v>0</v>
      </c>
      <c r="F86" s="246">
        <f t="shared" si="13"/>
        <v>0</v>
      </c>
      <c r="G86" s="246">
        <f t="shared" si="13"/>
        <v>0</v>
      </c>
      <c r="H86" s="246">
        <f t="shared" si="13"/>
        <v>0</v>
      </c>
    </row>
    <row r="87" spans="1:12" hidden="1">
      <c r="A87" s="73">
        <f t="shared" si="5"/>
        <v>0</v>
      </c>
      <c r="B87" s="246">
        <f t="shared" si="6"/>
        <v>0</v>
      </c>
      <c r="C87" s="246">
        <f t="shared" si="13"/>
        <v>0</v>
      </c>
      <c r="D87" s="246">
        <f t="shared" si="13"/>
        <v>0</v>
      </c>
      <c r="E87" s="246">
        <f t="shared" si="13"/>
        <v>0</v>
      </c>
      <c r="F87" s="246">
        <f t="shared" si="13"/>
        <v>0</v>
      </c>
      <c r="G87" s="246">
        <f t="shared" si="13"/>
        <v>0</v>
      </c>
      <c r="H87" s="246">
        <f t="shared" si="13"/>
        <v>0</v>
      </c>
    </row>
    <row r="88" spans="1:12" hidden="1">
      <c r="A88" s="73">
        <f t="shared" si="5"/>
        <v>0</v>
      </c>
      <c r="B88" s="246">
        <f t="shared" si="6"/>
        <v>0</v>
      </c>
      <c r="C88" s="246">
        <f t="shared" si="13"/>
        <v>0</v>
      </c>
      <c r="D88" s="246">
        <f t="shared" si="13"/>
        <v>0</v>
      </c>
      <c r="E88" s="246">
        <f t="shared" si="13"/>
        <v>0</v>
      </c>
      <c r="F88" s="246">
        <f t="shared" si="13"/>
        <v>0</v>
      </c>
      <c r="G88" s="246">
        <f t="shared" si="13"/>
        <v>0</v>
      </c>
      <c r="H88" s="246">
        <f t="shared" si="13"/>
        <v>0</v>
      </c>
    </row>
    <row r="89" spans="1:12" hidden="1">
      <c r="A89" s="73">
        <f t="shared" si="5"/>
        <v>0</v>
      </c>
      <c r="B89" s="246">
        <f t="shared" si="6"/>
        <v>0</v>
      </c>
      <c r="C89" s="246">
        <f t="shared" si="13"/>
        <v>0</v>
      </c>
      <c r="D89" s="246">
        <f t="shared" si="13"/>
        <v>0</v>
      </c>
      <c r="E89" s="246">
        <f t="shared" si="13"/>
        <v>0</v>
      </c>
      <c r="F89" s="246">
        <f t="shared" si="13"/>
        <v>0</v>
      </c>
      <c r="G89" s="246">
        <f t="shared" si="13"/>
        <v>0</v>
      </c>
      <c r="H89" s="246">
        <f t="shared" si="13"/>
        <v>0</v>
      </c>
    </row>
    <row r="90" spans="1:12">
      <c r="A90" s="73"/>
      <c r="B90" s="246"/>
      <c r="C90" s="246"/>
      <c r="D90" s="246"/>
      <c r="E90" s="246"/>
      <c r="F90" s="246"/>
      <c r="G90" s="246"/>
      <c r="H90" s="246"/>
      <c r="J90" s="13"/>
      <c r="K90" s="13"/>
      <c r="L90" s="13"/>
    </row>
    <row r="91" spans="1:12" hidden="1">
      <c r="A91" s="73" t="str">
        <f t="shared" ref="A91:A109" si="14">A34</f>
        <v>Fruit  &amp; Vegetables Crop Production Details</v>
      </c>
      <c r="B91" s="246"/>
      <c r="C91" s="246"/>
      <c r="D91" s="246"/>
      <c r="E91" s="246"/>
      <c r="F91" s="246"/>
      <c r="G91" s="246"/>
      <c r="H91" s="246"/>
      <c r="J91" s="13"/>
      <c r="K91" s="13"/>
      <c r="L91" s="13"/>
    </row>
    <row r="92" spans="1:12" hidden="1">
      <c r="A92" s="73" t="str">
        <f t="shared" si="14"/>
        <v>Onion</v>
      </c>
      <c r="B92" s="246">
        <f t="shared" ref="B92:H101" si="15">B35</f>
        <v>0</v>
      </c>
      <c r="C92" s="246">
        <f t="shared" si="15"/>
        <v>0</v>
      </c>
      <c r="D92" s="246">
        <f t="shared" si="15"/>
        <v>0</v>
      </c>
      <c r="E92" s="246">
        <f t="shared" si="15"/>
        <v>0</v>
      </c>
      <c r="F92" s="246">
        <f t="shared" si="15"/>
        <v>0</v>
      </c>
      <c r="G92" s="246">
        <f t="shared" si="15"/>
        <v>0</v>
      </c>
      <c r="H92" s="246">
        <f t="shared" si="15"/>
        <v>0</v>
      </c>
      <c r="J92" s="13"/>
      <c r="K92" s="13"/>
      <c r="L92" s="13"/>
    </row>
    <row r="93" spans="1:12" hidden="1">
      <c r="A93" s="73" t="str">
        <f t="shared" si="14"/>
        <v>Tomato</v>
      </c>
      <c r="B93" s="246">
        <f t="shared" si="15"/>
        <v>0</v>
      </c>
      <c r="C93" s="246">
        <f t="shared" si="15"/>
        <v>0</v>
      </c>
      <c r="D93" s="246">
        <f t="shared" si="15"/>
        <v>0</v>
      </c>
      <c r="E93" s="246">
        <f t="shared" si="15"/>
        <v>0</v>
      </c>
      <c r="F93" s="246">
        <f t="shared" si="15"/>
        <v>0</v>
      </c>
      <c r="G93" s="246">
        <f t="shared" si="15"/>
        <v>0</v>
      </c>
      <c r="H93" s="246">
        <f t="shared" si="15"/>
        <v>0</v>
      </c>
      <c r="J93" s="13"/>
      <c r="K93" s="13"/>
      <c r="L93" s="13"/>
    </row>
    <row r="94" spans="1:12" hidden="1">
      <c r="A94" s="73" t="str">
        <f t="shared" si="14"/>
        <v>Okra</v>
      </c>
      <c r="B94" s="246">
        <f t="shared" si="15"/>
        <v>0</v>
      </c>
      <c r="C94" s="246">
        <f t="shared" si="15"/>
        <v>0</v>
      </c>
      <c r="D94" s="246">
        <f t="shared" si="15"/>
        <v>0</v>
      </c>
      <c r="E94" s="246">
        <f t="shared" si="15"/>
        <v>0</v>
      </c>
      <c r="F94" s="246">
        <f t="shared" si="15"/>
        <v>0</v>
      </c>
      <c r="G94" s="246">
        <f t="shared" si="15"/>
        <v>0</v>
      </c>
      <c r="H94" s="246">
        <f t="shared" si="15"/>
        <v>0</v>
      </c>
      <c r="J94" s="13"/>
      <c r="K94" s="13"/>
      <c r="L94" s="13"/>
    </row>
    <row r="95" spans="1:12" hidden="1">
      <c r="A95" s="73" t="str">
        <f t="shared" si="14"/>
        <v>Chilli</v>
      </c>
      <c r="B95" s="246">
        <f t="shared" si="15"/>
        <v>0</v>
      </c>
      <c r="C95" s="246">
        <f t="shared" si="15"/>
        <v>0</v>
      </c>
      <c r="D95" s="246">
        <f t="shared" si="15"/>
        <v>0</v>
      </c>
      <c r="E95" s="246">
        <f t="shared" si="15"/>
        <v>0</v>
      </c>
      <c r="F95" s="246">
        <f t="shared" si="15"/>
        <v>0</v>
      </c>
      <c r="G95" s="246">
        <f t="shared" si="15"/>
        <v>0</v>
      </c>
      <c r="H95" s="246">
        <f t="shared" si="15"/>
        <v>0</v>
      </c>
      <c r="J95" s="13"/>
      <c r="K95" s="13"/>
      <c r="L95" s="13"/>
    </row>
    <row r="96" spans="1:12" hidden="1">
      <c r="A96" s="73" t="str">
        <f t="shared" si="14"/>
        <v>Potato</v>
      </c>
      <c r="B96" s="246">
        <f t="shared" si="15"/>
        <v>0</v>
      </c>
      <c r="C96" s="246">
        <f t="shared" si="15"/>
        <v>0</v>
      </c>
      <c r="D96" s="246">
        <f t="shared" si="15"/>
        <v>0</v>
      </c>
      <c r="E96" s="246">
        <f t="shared" si="15"/>
        <v>0</v>
      </c>
      <c r="F96" s="246">
        <f t="shared" si="15"/>
        <v>0</v>
      </c>
      <c r="G96" s="246">
        <f t="shared" si="15"/>
        <v>0</v>
      </c>
      <c r="H96" s="246">
        <f t="shared" si="15"/>
        <v>0</v>
      </c>
      <c r="J96" s="13"/>
      <c r="K96" s="13"/>
      <c r="L96" s="13"/>
    </row>
    <row r="97" spans="1:12" hidden="1">
      <c r="A97" s="73">
        <f t="shared" si="14"/>
        <v>0</v>
      </c>
      <c r="B97" s="246">
        <f t="shared" si="15"/>
        <v>0</v>
      </c>
      <c r="C97" s="246">
        <f t="shared" si="15"/>
        <v>0</v>
      </c>
      <c r="D97" s="246">
        <f t="shared" si="15"/>
        <v>0</v>
      </c>
      <c r="E97" s="246">
        <f t="shared" si="15"/>
        <v>0</v>
      </c>
      <c r="F97" s="246">
        <f t="shared" si="15"/>
        <v>0</v>
      </c>
      <c r="G97" s="246">
        <f t="shared" si="15"/>
        <v>0</v>
      </c>
      <c r="H97" s="246">
        <f t="shared" si="15"/>
        <v>0</v>
      </c>
      <c r="J97" s="13"/>
      <c r="K97" s="13"/>
      <c r="L97" s="13"/>
    </row>
    <row r="98" spans="1:12" hidden="1">
      <c r="A98" s="73">
        <f t="shared" si="14"/>
        <v>0</v>
      </c>
      <c r="B98" s="246">
        <f t="shared" si="15"/>
        <v>0</v>
      </c>
      <c r="C98" s="246">
        <f t="shared" si="15"/>
        <v>0</v>
      </c>
      <c r="D98" s="246">
        <f t="shared" si="15"/>
        <v>0</v>
      </c>
      <c r="E98" s="246">
        <f t="shared" si="15"/>
        <v>0</v>
      </c>
      <c r="F98" s="246">
        <f t="shared" si="15"/>
        <v>0</v>
      </c>
      <c r="G98" s="246">
        <f t="shared" si="15"/>
        <v>0</v>
      </c>
      <c r="H98" s="246">
        <f t="shared" si="15"/>
        <v>0</v>
      </c>
      <c r="J98" s="13"/>
      <c r="K98" s="13"/>
      <c r="L98" s="13"/>
    </row>
    <row r="99" spans="1:12" hidden="1">
      <c r="A99" s="73">
        <f t="shared" si="14"/>
        <v>0</v>
      </c>
      <c r="B99" s="246">
        <f t="shared" si="15"/>
        <v>0</v>
      </c>
      <c r="C99" s="246">
        <f t="shared" si="15"/>
        <v>0</v>
      </c>
      <c r="D99" s="246">
        <f t="shared" si="15"/>
        <v>0</v>
      </c>
      <c r="E99" s="246">
        <f t="shared" si="15"/>
        <v>0</v>
      </c>
      <c r="F99" s="246">
        <f t="shared" si="15"/>
        <v>0</v>
      </c>
      <c r="G99" s="246">
        <f t="shared" si="15"/>
        <v>0</v>
      </c>
      <c r="H99" s="246">
        <f t="shared" si="15"/>
        <v>0</v>
      </c>
      <c r="J99" s="13"/>
      <c r="K99" s="13"/>
      <c r="L99" s="13"/>
    </row>
    <row r="100" spans="1:12" hidden="1">
      <c r="A100" s="73">
        <f t="shared" si="14"/>
        <v>0</v>
      </c>
      <c r="B100" s="246">
        <f t="shared" si="15"/>
        <v>0</v>
      </c>
      <c r="C100" s="246">
        <f t="shared" si="15"/>
        <v>0</v>
      </c>
      <c r="D100" s="246">
        <f t="shared" si="15"/>
        <v>0</v>
      </c>
      <c r="E100" s="246">
        <f t="shared" si="15"/>
        <v>0</v>
      </c>
      <c r="F100" s="246">
        <f t="shared" si="15"/>
        <v>0</v>
      </c>
      <c r="G100" s="246">
        <f t="shared" si="15"/>
        <v>0</v>
      </c>
      <c r="H100" s="246">
        <f t="shared" si="15"/>
        <v>0</v>
      </c>
      <c r="J100" s="13"/>
      <c r="K100" s="13"/>
      <c r="L100" s="13"/>
    </row>
    <row r="101" spans="1:12" hidden="1">
      <c r="A101" s="73" t="str">
        <f t="shared" si="14"/>
        <v>Onion</v>
      </c>
      <c r="B101" s="246">
        <f t="shared" si="15"/>
        <v>0</v>
      </c>
      <c r="C101" s="246">
        <f t="shared" si="15"/>
        <v>0</v>
      </c>
      <c r="D101" s="246">
        <f t="shared" si="15"/>
        <v>0</v>
      </c>
      <c r="E101" s="246">
        <f t="shared" si="15"/>
        <v>0</v>
      </c>
      <c r="F101" s="246">
        <f t="shared" si="15"/>
        <v>0</v>
      </c>
      <c r="G101" s="246">
        <f t="shared" si="15"/>
        <v>0</v>
      </c>
      <c r="H101" s="246">
        <f t="shared" si="15"/>
        <v>0</v>
      </c>
      <c r="J101" s="13"/>
      <c r="K101" s="13"/>
      <c r="L101" s="13"/>
    </row>
    <row r="102" spans="1:12" hidden="1">
      <c r="A102" s="73" t="str">
        <f t="shared" si="14"/>
        <v>Tomato</v>
      </c>
      <c r="B102" s="246">
        <f t="shared" ref="B102:H109" si="16">B45</f>
        <v>0</v>
      </c>
      <c r="C102" s="246">
        <f t="shared" si="16"/>
        <v>0</v>
      </c>
      <c r="D102" s="246">
        <f t="shared" si="16"/>
        <v>0</v>
      </c>
      <c r="E102" s="246">
        <f t="shared" si="16"/>
        <v>0</v>
      </c>
      <c r="F102" s="246">
        <f t="shared" si="16"/>
        <v>0</v>
      </c>
      <c r="G102" s="246">
        <f t="shared" si="16"/>
        <v>0</v>
      </c>
      <c r="H102" s="246">
        <f t="shared" si="16"/>
        <v>0</v>
      </c>
      <c r="J102" s="13"/>
      <c r="K102" s="13"/>
      <c r="L102" s="13"/>
    </row>
    <row r="103" spans="1:12" hidden="1">
      <c r="A103" s="73" t="str">
        <f t="shared" si="14"/>
        <v>Okra</v>
      </c>
      <c r="B103" s="246">
        <f t="shared" si="16"/>
        <v>0</v>
      </c>
      <c r="C103" s="246">
        <f t="shared" si="16"/>
        <v>0</v>
      </c>
      <c r="D103" s="246">
        <f t="shared" si="16"/>
        <v>0</v>
      </c>
      <c r="E103" s="246">
        <f t="shared" si="16"/>
        <v>0</v>
      </c>
      <c r="F103" s="246">
        <f t="shared" si="16"/>
        <v>0</v>
      </c>
      <c r="G103" s="246">
        <f t="shared" si="16"/>
        <v>0</v>
      </c>
      <c r="H103" s="246">
        <f t="shared" si="16"/>
        <v>0</v>
      </c>
      <c r="J103" s="13"/>
      <c r="K103" s="13"/>
      <c r="L103" s="13"/>
    </row>
    <row r="104" spans="1:12" hidden="1">
      <c r="A104" s="73" t="str">
        <f t="shared" si="14"/>
        <v>Chilli</v>
      </c>
      <c r="B104" s="246">
        <f t="shared" si="16"/>
        <v>0</v>
      </c>
      <c r="C104" s="246">
        <f t="shared" si="16"/>
        <v>0</v>
      </c>
      <c r="D104" s="246">
        <f t="shared" si="16"/>
        <v>0</v>
      </c>
      <c r="E104" s="246">
        <f t="shared" si="16"/>
        <v>0</v>
      </c>
      <c r="F104" s="246">
        <f t="shared" si="16"/>
        <v>0</v>
      </c>
      <c r="G104" s="246">
        <f t="shared" si="16"/>
        <v>0</v>
      </c>
      <c r="H104" s="246">
        <f t="shared" si="16"/>
        <v>0</v>
      </c>
      <c r="J104" s="13"/>
      <c r="K104" s="13"/>
      <c r="L104" s="13"/>
    </row>
    <row r="105" spans="1:12" hidden="1">
      <c r="A105" s="73" t="str">
        <f t="shared" si="14"/>
        <v>Brinjal</v>
      </c>
      <c r="B105" s="246">
        <f t="shared" si="16"/>
        <v>0</v>
      </c>
      <c r="C105" s="246">
        <f t="shared" si="16"/>
        <v>0</v>
      </c>
      <c r="D105" s="246">
        <f t="shared" si="16"/>
        <v>0</v>
      </c>
      <c r="E105" s="246">
        <f t="shared" si="16"/>
        <v>0</v>
      </c>
      <c r="F105" s="246">
        <f t="shared" si="16"/>
        <v>0</v>
      </c>
      <c r="G105" s="246">
        <f t="shared" si="16"/>
        <v>0</v>
      </c>
      <c r="H105" s="246">
        <f t="shared" si="16"/>
        <v>0</v>
      </c>
      <c r="J105" s="13"/>
      <c r="K105" s="13"/>
      <c r="L105" s="13"/>
    </row>
    <row r="106" spans="1:12" hidden="1">
      <c r="A106" s="73">
        <f t="shared" si="14"/>
        <v>0</v>
      </c>
      <c r="B106" s="246">
        <f t="shared" si="16"/>
        <v>0</v>
      </c>
      <c r="C106" s="246">
        <f t="shared" si="16"/>
        <v>0</v>
      </c>
      <c r="D106" s="246">
        <f t="shared" si="16"/>
        <v>0</v>
      </c>
      <c r="E106" s="246">
        <f t="shared" si="16"/>
        <v>0</v>
      </c>
      <c r="F106" s="246">
        <f t="shared" si="16"/>
        <v>0</v>
      </c>
      <c r="G106" s="246">
        <f t="shared" si="16"/>
        <v>0</v>
      </c>
      <c r="H106" s="246">
        <f t="shared" si="16"/>
        <v>0</v>
      </c>
      <c r="J106" s="13"/>
      <c r="K106" s="13"/>
      <c r="L106" s="13"/>
    </row>
    <row r="107" spans="1:12" hidden="1">
      <c r="A107" s="73">
        <f t="shared" si="14"/>
        <v>0</v>
      </c>
      <c r="B107" s="246">
        <f t="shared" si="16"/>
        <v>0</v>
      </c>
      <c r="C107" s="246">
        <f t="shared" si="16"/>
        <v>0</v>
      </c>
      <c r="D107" s="246">
        <f t="shared" si="16"/>
        <v>0</v>
      </c>
      <c r="E107" s="246">
        <f t="shared" si="16"/>
        <v>0</v>
      </c>
      <c r="F107" s="246">
        <f t="shared" si="16"/>
        <v>0</v>
      </c>
      <c r="G107" s="246">
        <f t="shared" si="16"/>
        <v>0</v>
      </c>
      <c r="H107" s="246">
        <f t="shared" si="16"/>
        <v>0</v>
      </c>
      <c r="J107" s="13"/>
      <c r="K107" s="13"/>
      <c r="L107" s="13"/>
    </row>
    <row r="108" spans="1:12" hidden="1">
      <c r="A108" s="73">
        <f t="shared" si="14"/>
        <v>0</v>
      </c>
      <c r="B108" s="246">
        <f t="shared" si="16"/>
        <v>0</v>
      </c>
      <c r="C108" s="246">
        <f t="shared" si="16"/>
        <v>0</v>
      </c>
      <c r="D108" s="246">
        <f t="shared" si="16"/>
        <v>0</v>
      </c>
      <c r="E108" s="246">
        <f t="shared" si="16"/>
        <v>0</v>
      </c>
      <c r="F108" s="246">
        <f t="shared" si="16"/>
        <v>0</v>
      </c>
      <c r="G108" s="246">
        <f t="shared" si="16"/>
        <v>0</v>
      </c>
      <c r="H108" s="246">
        <f t="shared" si="16"/>
        <v>0</v>
      </c>
      <c r="J108" s="13"/>
      <c r="K108" s="13"/>
      <c r="L108" s="13"/>
    </row>
    <row r="109" spans="1:12" hidden="1">
      <c r="A109" s="73">
        <f t="shared" si="14"/>
        <v>0</v>
      </c>
      <c r="B109" s="246">
        <f t="shared" si="16"/>
        <v>0</v>
      </c>
      <c r="C109" s="246">
        <f t="shared" si="16"/>
        <v>0</v>
      </c>
      <c r="D109" s="246">
        <f t="shared" si="16"/>
        <v>0</v>
      </c>
      <c r="E109" s="246">
        <f t="shared" si="16"/>
        <v>0</v>
      </c>
      <c r="F109" s="246">
        <f t="shared" si="16"/>
        <v>0</v>
      </c>
      <c r="G109" s="246">
        <f t="shared" si="16"/>
        <v>0</v>
      </c>
      <c r="H109" s="246">
        <f t="shared" si="16"/>
        <v>0</v>
      </c>
      <c r="J109" s="13"/>
      <c r="K109" s="13"/>
      <c r="L109" s="13"/>
    </row>
    <row r="110" spans="1:12" hidden="1">
      <c r="A110" s="73">
        <f t="shared" ref="A110:A113" si="17">A53</f>
        <v>0</v>
      </c>
      <c r="B110" s="246"/>
      <c r="C110" s="246"/>
      <c r="D110" s="246"/>
      <c r="E110" s="246"/>
      <c r="F110" s="246"/>
      <c r="G110" s="246"/>
      <c r="H110" s="246"/>
      <c r="J110" s="13"/>
      <c r="K110" s="13"/>
      <c r="L110" s="13"/>
    </row>
    <row r="111" spans="1:12" hidden="1">
      <c r="A111" s="73">
        <f t="shared" si="17"/>
        <v>0</v>
      </c>
      <c r="B111" s="246"/>
      <c r="C111" s="246"/>
      <c r="D111" s="246"/>
      <c r="E111" s="246"/>
      <c r="F111" s="246"/>
      <c r="G111" s="246"/>
      <c r="H111" s="246"/>
      <c r="J111" s="13"/>
      <c r="K111" s="13"/>
      <c r="L111" s="13"/>
    </row>
    <row r="112" spans="1:12" hidden="1">
      <c r="A112" s="73">
        <f t="shared" si="17"/>
        <v>0</v>
      </c>
      <c r="B112" s="246"/>
      <c r="C112" s="246"/>
      <c r="D112" s="246"/>
      <c r="E112" s="246"/>
      <c r="F112" s="246"/>
      <c r="G112" s="246"/>
      <c r="H112" s="246"/>
      <c r="J112" s="13"/>
      <c r="K112" s="13"/>
      <c r="L112" s="13"/>
    </row>
    <row r="113" spans="1:12" hidden="1">
      <c r="A113" s="73" t="str">
        <f t="shared" si="17"/>
        <v>Pomegranate</v>
      </c>
      <c r="B113" s="246">
        <f t="shared" ref="B113:H116" si="18">B56</f>
        <v>0</v>
      </c>
      <c r="C113" s="246">
        <f t="shared" si="18"/>
        <v>0</v>
      </c>
      <c r="D113" s="246">
        <f t="shared" si="18"/>
        <v>0</v>
      </c>
      <c r="E113" s="246">
        <f t="shared" si="18"/>
        <v>0</v>
      </c>
      <c r="F113" s="246">
        <f t="shared" si="18"/>
        <v>0</v>
      </c>
      <c r="G113" s="246">
        <f t="shared" si="18"/>
        <v>0</v>
      </c>
      <c r="H113" s="246">
        <f t="shared" si="18"/>
        <v>0</v>
      </c>
      <c r="J113" s="13"/>
      <c r="K113" s="13"/>
      <c r="L113" s="13"/>
    </row>
    <row r="114" spans="1:12" hidden="1">
      <c r="A114" s="73" t="str">
        <f>A57</f>
        <v>Custard Apple</v>
      </c>
      <c r="B114" s="246">
        <f t="shared" si="18"/>
        <v>0</v>
      </c>
      <c r="C114" s="246">
        <f t="shared" si="18"/>
        <v>0</v>
      </c>
      <c r="D114" s="246">
        <f t="shared" si="18"/>
        <v>0</v>
      </c>
      <c r="E114" s="246">
        <f t="shared" si="18"/>
        <v>0</v>
      </c>
      <c r="F114" s="246">
        <f t="shared" si="18"/>
        <v>0</v>
      </c>
      <c r="G114" s="246">
        <f t="shared" si="18"/>
        <v>0</v>
      </c>
      <c r="H114" s="246">
        <f t="shared" si="18"/>
        <v>0</v>
      </c>
      <c r="J114" s="13"/>
      <c r="K114" s="13"/>
      <c r="L114" s="13"/>
    </row>
    <row r="115" spans="1:12" hidden="1">
      <c r="A115" s="73" t="str">
        <f>A58</f>
        <v>Guava</v>
      </c>
      <c r="B115" s="246">
        <f t="shared" si="18"/>
        <v>0</v>
      </c>
      <c r="C115" s="246">
        <f t="shared" si="18"/>
        <v>0</v>
      </c>
      <c r="D115" s="246">
        <f t="shared" si="18"/>
        <v>0</v>
      </c>
      <c r="E115" s="246">
        <f t="shared" si="18"/>
        <v>0</v>
      </c>
      <c r="F115" s="246">
        <f t="shared" si="18"/>
        <v>0</v>
      </c>
      <c r="G115" s="246">
        <f t="shared" si="18"/>
        <v>0</v>
      </c>
      <c r="H115" s="246">
        <f t="shared" si="18"/>
        <v>0</v>
      </c>
      <c r="J115" s="13"/>
      <c r="K115" s="13"/>
      <c r="L115" s="13"/>
    </row>
    <row r="116" spans="1:12" hidden="1">
      <c r="A116" s="73" t="str">
        <f>A59</f>
        <v>Citrus</v>
      </c>
      <c r="B116" s="246">
        <f t="shared" si="18"/>
        <v>0</v>
      </c>
      <c r="C116" s="246">
        <f t="shared" si="18"/>
        <v>0</v>
      </c>
      <c r="D116" s="246">
        <f t="shared" si="18"/>
        <v>0</v>
      </c>
      <c r="E116" s="246">
        <f t="shared" si="18"/>
        <v>0</v>
      </c>
      <c r="F116" s="246">
        <f t="shared" si="18"/>
        <v>0</v>
      </c>
      <c r="G116" s="246">
        <f t="shared" si="18"/>
        <v>0</v>
      </c>
      <c r="H116" s="246">
        <f t="shared" si="18"/>
        <v>0</v>
      </c>
      <c r="J116" s="13"/>
      <c r="K116" s="13"/>
      <c r="L116" s="13"/>
    </row>
    <row r="117" spans="1:12" hidden="1">
      <c r="A117" s="73"/>
      <c r="B117" s="246"/>
      <c r="C117" s="246"/>
      <c r="D117" s="246"/>
      <c r="E117" s="246"/>
      <c r="F117" s="246"/>
      <c r="G117" s="246"/>
      <c r="H117" s="246"/>
      <c r="J117" s="13"/>
      <c r="K117" s="13"/>
      <c r="L117" s="13"/>
    </row>
    <row r="118" spans="1:12" hidden="1">
      <c r="A118" s="73"/>
      <c r="B118" s="246"/>
      <c r="C118" s="246"/>
      <c r="D118" s="246"/>
      <c r="E118" s="246"/>
      <c r="F118" s="246"/>
      <c r="G118" s="246"/>
      <c r="H118" s="246"/>
      <c r="J118" s="13"/>
      <c r="K118" s="13"/>
      <c r="L118" s="13"/>
    </row>
    <row r="119" spans="1:12">
      <c r="A119" s="75" t="s">
        <v>140</v>
      </c>
      <c r="B119" s="73"/>
      <c r="C119" s="73"/>
      <c r="D119" s="73"/>
      <c r="E119" s="73"/>
      <c r="F119" s="73"/>
      <c r="G119" s="73"/>
      <c r="H119" s="73"/>
    </row>
    <row r="120" spans="1:12" hidden="1">
      <c r="A120" s="73" t="str">
        <f t="shared" ref="A120:A141" si="19">A68</f>
        <v>Soybean</v>
      </c>
      <c r="B120" s="161">
        <f t="shared" ref="B120:H128" si="20">B68-(B68*$G$6)</f>
        <v>0</v>
      </c>
      <c r="C120" s="161">
        <f t="shared" si="20"/>
        <v>0</v>
      </c>
      <c r="D120" s="161">
        <f t="shared" si="20"/>
        <v>0</v>
      </c>
      <c r="E120" s="161">
        <f t="shared" si="20"/>
        <v>0</v>
      </c>
      <c r="F120" s="161">
        <f t="shared" si="20"/>
        <v>0</v>
      </c>
      <c r="G120" s="161">
        <f t="shared" si="20"/>
        <v>0</v>
      </c>
      <c r="H120" s="161">
        <f t="shared" si="20"/>
        <v>0</v>
      </c>
    </row>
    <row r="121" spans="1:12" hidden="1">
      <c r="A121" s="73" t="str">
        <f t="shared" si="19"/>
        <v>Red Gram/Tur</v>
      </c>
      <c r="B121" s="161">
        <f t="shared" si="20"/>
        <v>0</v>
      </c>
      <c r="C121" s="161">
        <f t="shared" si="20"/>
        <v>0</v>
      </c>
      <c r="D121" s="161">
        <f t="shared" si="20"/>
        <v>0</v>
      </c>
      <c r="E121" s="161">
        <f t="shared" si="20"/>
        <v>0</v>
      </c>
      <c r="F121" s="161">
        <f t="shared" si="20"/>
        <v>0</v>
      </c>
      <c r="G121" s="161">
        <f t="shared" si="20"/>
        <v>0</v>
      </c>
      <c r="H121" s="161">
        <f t="shared" si="20"/>
        <v>0</v>
      </c>
    </row>
    <row r="122" spans="1:12" hidden="1">
      <c r="A122" s="73" t="str">
        <f t="shared" si="19"/>
        <v>Paddy/Rice</v>
      </c>
      <c r="B122" s="161">
        <f t="shared" si="20"/>
        <v>0</v>
      </c>
      <c r="C122" s="161">
        <f t="shared" si="20"/>
        <v>0</v>
      </c>
      <c r="D122" s="161">
        <f t="shared" si="20"/>
        <v>0</v>
      </c>
      <c r="E122" s="161">
        <f t="shared" si="20"/>
        <v>0</v>
      </c>
      <c r="F122" s="161">
        <f t="shared" si="20"/>
        <v>0</v>
      </c>
      <c r="G122" s="161">
        <f t="shared" si="20"/>
        <v>0</v>
      </c>
      <c r="H122" s="161">
        <f t="shared" si="20"/>
        <v>0</v>
      </c>
    </row>
    <row r="123" spans="1:12" hidden="1">
      <c r="A123" s="73" t="str">
        <f t="shared" si="19"/>
        <v>Green Gram/ Moong</v>
      </c>
      <c r="B123" s="161">
        <f t="shared" si="20"/>
        <v>0</v>
      </c>
      <c r="C123" s="161">
        <f t="shared" si="20"/>
        <v>0</v>
      </c>
      <c r="D123" s="161">
        <f t="shared" si="20"/>
        <v>0</v>
      </c>
      <c r="E123" s="161">
        <f t="shared" si="20"/>
        <v>0</v>
      </c>
      <c r="F123" s="161">
        <f t="shared" si="20"/>
        <v>0</v>
      </c>
      <c r="G123" s="161">
        <f t="shared" si="20"/>
        <v>0</v>
      </c>
      <c r="H123" s="161">
        <f t="shared" si="20"/>
        <v>0</v>
      </c>
    </row>
    <row r="124" spans="1:12" hidden="1">
      <c r="A124" s="73" t="str">
        <f t="shared" si="19"/>
        <v>Maize</v>
      </c>
      <c r="B124" s="161">
        <f t="shared" si="20"/>
        <v>0</v>
      </c>
      <c r="C124" s="161">
        <f t="shared" si="20"/>
        <v>0</v>
      </c>
      <c r="D124" s="161">
        <f t="shared" si="20"/>
        <v>0</v>
      </c>
      <c r="E124" s="161">
        <f t="shared" si="20"/>
        <v>0</v>
      </c>
      <c r="F124" s="161">
        <f t="shared" si="20"/>
        <v>0</v>
      </c>
      <c r="G124" s="161">
        <f t="shared" si="20"/>
        <v>0</v>
      </c>
      <c r="H124" s="161">
        <f t="shared" si="20"/>
        <v>0</v>
      </c>
    </row>
    <row r="125" spans="1:12" hidden="1">
      <c r="A125" s="73" t="str">
        <f t="shared" si="19"/>
        <v>Black Gram/Udid</v>
      </c>
      <c r="B125" s="161">
        <f t="shared" si="20"/>
        <v>0</v>
      </c>
      <c r="C125" s="161">
        <f t="shared" si="20"/>
        <v>0</v>
      </c>
      <c r="D125" s="161">
        <f t="shared" si="20"/>
        <v>0</v>
      </c>
      <c r="E125" s="161">
        <f t="shared" si="20"/>
        <v>0</v>
      </c>
      <c r="F125" s="161">
        <f t="shared" si="20"/>
        <v>0</v>
      </c>
      <c r="G125" s="161">
        <f t="shared" si="20"/>
        <v>0</v>
      </c>
      <c r="H125" s="161">
        <f t="shared" si="20"/>
        <v>0</v>
      </c>
    </row>
    <row r="126" spans="1:12" hidden="1">
      <c r="A126" s="73" t="str">
        <f t="shared" si="19"/>
        <v>Bajra</v>
      </c>
      <c r="B126" s="161">
        <f t="shared" si="20"/>
        <v>0</v>
      </c>
      <c r="C126" s="161">
        <f t="shared" si="20"/>
        <v>0</v>
      </c>
      <c r="D126" s="161">
        <f t="shared" si="20"/>
        <v>0</v>
      </c>
      <c r="E126" s="161">
        <f t="shared" si="20"/>
        <v>0</v>
      </c>
      <c r="F126" s="161">
        <f t="shared" si="20"/>
        <v>0</v>
      </c>
      <c r="G126" s="161">
        <f t="shared" si="20"/>
        <v>0</v>
      </c>
      <c r="H126" s="161">
        <f t="shared" si="20"/>
        <v>0</v>
      </c>
    </row>
    <row r="127" spans="1:12">
      <c r="A127" s="73" t="str">
        <f t="shared" si="19"/>
        <v>Jawar</v>
      </c>
      <c r="B127" s="161">
        <f>B75-(B75*$G$6)*95%</f>
        <v>3769.9057499999999</v>
      </c>
      <c r="C127" s="161">
        <f t="shared" ref="C127:H127" si="21">C75-(C75*$G$6)*95%</f>
        <v>4398.2233749999996</v>
      </c>
      <c r="D127" s="161">
        <f t="shared" si="21"/>
        <v>5026.5410000000002</v>
      </c>
      <c r="E127" s="161">
        <f t="shared" si="21"/>
        <v>5654.8586249999998</v>
      </c>
      <c r="F127" s="161">
        <f t="shared" si="21"/>
        <v>6283.1762500000004</v>
      </c>
      <c r="G127" s="161">
        <f t="shared" si="21"/>
        <v>6911.4938750000001</v>
      </c>
      <c r="H127" s="161">
        <f t="shared" si="21"/>
        <v>7539.8115000000007</v>
      </c>
    </row>
    <row r="128" spans="1:12" hidden="1">
      <c r="A128" s="73" t="str">
        <f t="shared" si="19"/>
        <v>Sunflower</v>
      </c>
      <c r="B128" s="161">
        <f t="shared" si="20"/>
        <v>0</v>
      </c>
      <c r="C128" s="161">
        <f t="shared" si="20"/>
        <v>0</v>
      </c>
      <c r="D128" s="161">
        <f t="shared" si="20"/>
        <v>0</v>
      </c>
      <c r="E128" s="161">
        <f t="shared" si="20"/>
        <v>0</v>
      </c>
      <c r="F128" s="161">
        <f t="shared" si="20"/>
        <v>0</v>
      </c>
      <c r="G128" s="161">
        <f t="shared" si="20"/>
        <v>0</v>
      </c>
      <c r="H128" s="161">
        <f t="shared" si="20"/>
        <v>0</v>
      </c>
    </row>
    <row r="129" spans="1:8">
      <c r="A129" s="75" t="s">
        <v>768</v>
      </c>
      <c r="B129" s="161">
        <f>B77-(B77*$G$6)*95%</f>
        <v>6351.5372076000003</v>
      </c>
      <c r="C129" s="161">
        <f t="shared" ref="C129:H129" si="22">C77-(C77*$G$6)*95%</f>
        <v>7410.1267421999992</v>
      </c>
      <c r="D129" s="161">
        <f t="shared" si="22"/>
        <v>8468.7162767999998</v>
      </c>
      <c r="E129" s="161">
        <f t="shared" si="22"/>
        <v>9527.3058113999978</v>
      </c>
      <c r="F129" s="161">
        <f t="shared" si="22"/>
        <v>10585.895345999998</v>
      </c>
      <c r="G129" s="161">
        <f t="shared" si="22"/>
        <v>11644.484880599999</v>
      </c>
      <c r="H129" s="161">
        <f t="shared" si="22"/>
        <v>12703.074415200001</v>
      </c>
    </row>
    <row r="130" spans="1:8" hidden="1">
      <c r="A130" s="73" t="str">
        <f t="shared" si="19"/>
        <v>Bengal Gram/Channa</v>
      </c>
      <c r="B130" s="376">
        <f t="shared" ref="B130:H139" si="23">B78-(B78*$G$6)</f>
        <v>0</v>
      </c>
      <c r="C130" s="376">
        <f t="shared" si="23"/>
        <v>0</v>
      </c>
      <c r="D130" s="376">
        <f t="shared" si="23"/>
        <v>0</v>
      </c>
      <c r="E130" s="376">
        <f t="shared" si="23"/>
        <v>0</v>
      </c>
      <c r="F130" s="376">
        <f t="shared" si="23"/>
        <v>0</v>
      </c>
      <c r="G130" s="376">
        <f t="shared" si="23"/>
        <v>0</v>
      </c>
      <c r="H130" s="376">
        <f t="shared" si="23"/>
        <v>0</v>
      </c>
    </row>
    <row r="131" spans="1:8" hidden="1">
      <c r="A131" s="73" t="str">
        <f t="shared" si="19"/>
        <v>Jawar</v>
      </c>
      <c r="B131" s="376">
        <f t="shared" si="23"/>
        <v>0</v>
      </c>
      <c r="C131" s="376">
        <f t="shared" si="23"/>
        <v>0</v>
      </c>
      <c r="D131" s="376">
        <f t="shared" si="23"/>
        <v>0</v>
      </c>
      <c r="E131" s="376">
        <f t="shared" si="23"/>
        <v>0</v>
      </c>
      <c r="F131" s="376">
        <f t="shared" si="23"/>
        <v>0</v>
      </c>
      <c r="G131" s="376">
        <f t="shared" si="23"/>
        <v>0</v>
      </c>
      <c r="H131" s="376">
        <f t="shared" si="23"/>
        <v>0</v>
      </c>
    </row>
    <row r="132" spans="1:8" hidden="1">
      <c r="A132" s="73" t="str">
        <f t="shared" si="19"/>
        <v>Maize</v>
      </c>
      <c r="B132" s="376">
        <f t="shared" si="23"/>
        <v>0</v>
      </c>
      <c r="C132" s="376">
        <f t="shared" si="23"/>
        <v>0</v>
      </c>
      <c r="D132" s="376">
        <f t="shared" si="23"/>
        <v>0</v>
      </c>
      <c r="E132" s="376">
        <f t="shared" si="23"/>
        <v>0</v>
      </c>
      <c r="F132" s="376">
        <f t="shared" si="23"/>
        <v>0</v>
      </c>
      <c r="G132" s="376">
        <f t="shared" si="23"/>
        <v>0</v>
      </c>
      <c r="H132" s="376">
        <f t="shared" si="23"/>
        <v>0</v>
      </c>
    </row>
    <row r="133" spans="1:8" hidden="1">
      <c r="A133" s="73" t="str">
        <f t="shared" si="19"/>
        <v>Safflower</v>
      </c>
      <c r="B133" s="376">
        <f t="shared" si="23"/>
        <v>0</v>
      </c>
      <c r="C133" s="376">
        <f t="shared" si="23"/>
        <v>0</v>
      </c>
      <c r="D133" s="376">
        <f t="shared" si="23"/>
        <v>0</v>
      </c>
      <c r="E133" s="376">
        <f t="shared" si="23"/>
        <v>0</v>
      </c>
      <c r="F133" s="376">
        <f t="shared" si="23"/>
        <v>0</v>
      </c>
      <c r="G133" s="376">
        <f t="shared" si="23"/>
        <v>0</v>
      </c>
      <c r="H133" s="376">
        <f t="shared" si="23"/>
        <v>0</v>
      </c>
    </row>
    <row r="134" spans="1:8" hidden="1">
      <c r="A134" s="73">
        <f t="shared" si="19"/>
        <v>0</v>
      </c>
      <c r="B134" s="376">
        <f t="shared" si="23"/>
        <v>0</v>
      </c>
      <c r="C134" s="376">
        <f t="shared" si="23"/>
        <v>0</v>
      </c>
      <c r="D134" s="376">
        <f t="shared" si="23"/>
        <v>0</v>
      </c>
      <c r="E134" s="376">
        <f t="shared" si="23"/>
        <v>0</v>
      </c>
      <c r="F134" s="376">
        <f t="shared" si="23"/>
        <v>0</v>
      </c>
      <c r="G134" s="376">
        <f t="shared" si="23"/>
        <v>0</v>
      </c>
      <c r="H134" s="376">
        <f t="shared" si="23"/>
        <v>0</v>
      </c>
    </row>
    <row r="135" spans="1:8" hidden="1">
      <c r="A135" s="73">
        <f t="shared" si="19"/>
        <v>0</v>
      </c>
      <c r="B135" s="376">
        <f t="shared" si="23"/>
        <v>0</v>
      </c>
      <c r="C135" s="376">
        <f t="shared" si="23"/>
        <v>0</v>
      </c>
      <c r="D135" s="376">
        <f t="shared" si="23"/>
        <v>0</v>
      </c>
      <c r="E135" s="376">
        <f t="shared" si="23"/>
        <v>0</v>
      </c>
      <c r="F135" s="376">
        <f t="shared" si="23"/>
        <v>0</v>
      </c>
      <c r="G135" s="376">
        <f t="shared" si="23"/>
        <v>0</v>
      </c>
      <c r="H135" s="376">
        <f t="shared" si="23"/>
        <v>0</v>
      </c>
    </row>
    <row r="136" spans="1:8" hidden="1">
      <c r="A136" s="73">
        <f t="shared" si="19"/>
        <v>0</v>
      </c>
      <c r="B136" s="376">
        <f t="shared" si="23"/>
        <v>0</v>
      </c>
      <c r="C136" s="376">
        <f t="shared" si="23"/>
        <v>0</v>
      </c>
      <c r="D136" s="376">
        <f t="shared" si="23"/>
        <v>0</v>
      </c>
      <c r="E136" s="376">
        <f t="shared" si="23"/>
        <v>0</v>
      </c>
      <c r="F136" s="376">
        <f t="shared" si="23"/>
        <v>0</v>
      </c>
      <c r="G136" s="376">
        <f t="shared" si="23"/>
        <v>0</v>
      </c>
      <c r="H136" s="376">
        <f t="shared" si="23"/>
        <v>0</v>
      </c>
    </row>
    <row r="137" spans="1:8" hidden="1">
      <c r="A137" s="73" t="str">
        <f t="shared" si="19"/>
        <v>Groundnut</v>
      </c>
      <c r="B137" s="376">
        <f t="shared" si="23"/>
        <v>0</v>
      </c>
      <c r="C137" s="376">
        <f t="shared" si="23"/>
        <v>0</v>
      </c>
      <c r="D137" s="376">
        <f t="shared" si="23"/>
        <v>0</v>
      </c>
      <c r="E137" s="376">
        <f t="shared" si="23"/>
        <v>0</v>
      </c>
      <c r="F137" s="376">
        <f t="shared" si="23"/>
        <v>0</v>
      </c>
      <c r="G137" s="376">
        <f t="shared" si="23"/>
        <v>0</v>
      </c>
      <c r="H137" s="376">
        <f t="shared" si="23"/>
        <v>0</v>
      </c>
    </row>
    <row r="138" spans="1:8" hidden="1">
      <c r="A138" s="73">
        <f t="shared" si="19"/>
        <v>0</v>
      </c>
      <c r="B138" s="376">
        <f t="shared" si="23"/>
        <v>0</v>
      </c>
      <c r="C138" s="376">
        <f t="shared" si="23"/>
        <v>0</v>
      </c>
      <c r="D138" s="376">
        <f t="shared" si="23"/>
        <v>0</v>
      </c>
      <c r="E138" s="376">
        <f t="shared" si="23"/>
        <v>0</v>
      </c>
      <c r="F138" s="376">
        <f t="shared" si="23"/>
        <v>0</v>
      </c>
      <c r="G138" s="376">
        <f t="shared" si="23"/>
        <v>0</v>
      </c>
      <c r="H138" s="376">
        <f t="shared" si="23"/>
        <v>0</v>
      </c>
    </row>
    <row r="139" spans="1:8" hidden="1">
      <c r="A139" s="73">
        <f t="shared" si="19"/>
        <v>0</v>
      </c>
      <c r="B139" s="376">
        <f t="shared" si="23"/>
        <v>0</v>
      </c>
      <c r="C139" s="376">
        <f t="shared" si="23"/>
        <v>0</v>
      </c>
      <c r="D139" s="376">
        <f t="shared" si="23"/>
        <v>0</v>
      </c>
      <c r="E139" s="376">
        <f t="shared" si="23"/>
        <v>0</v>
      </c>
      <c r="F139" s="376">
        <f t="shared" si="23"/>
        <v>0</v>
      </c>
      <c r="G139" s="376">
        <f t="shared" si="23"/>
        <v>0</v>
      </c>
      <c r="H139" s="376">
        <f t="shared" si="23"/>
        <v>0</v>
      </c>
    </row>
    <row r="140" spans="1:8" hidden="1">
      <c r="A140" s="73">
        <f t="shared" si="19"/>
        <v>0</v>
      </c>
      <c r="B140" s="376">
        <f t="shared" ref="B140:H141" si="24">B88-(B88*$G$6)</f>
        <v>0</v>
      </c>
      <c r="C140" s="376">
        <f t="shared" si="24"/>
        <v>0</v>
      </c>
      <c r="D140" s="376">
        <f t="shared" si="24"/>
        <v>0</v>
      </c>
      <c r="E140" s="376">
        <f t="shared" si="24"/>
        <v>0</v>
      </c>
      <c r="F140" s="376">
        <f t="shared" si="24"/>
        <v>0</v>
      </c>
      <c r="G140" s="376">
        <f t="shared" si="24"/>
        <v>0</v>
      </c>
      <c r="H140" s="376">
        <f t="shared" si="24"/>
        <v>0</v>
      </c>
    </row>
    <row r="141" spans="1:8" hidden="1">
      <c r="A141" s="73">
        <f t="shared" si="19"/>
        <v>0</v>
      </c>
      <c r="B141" s="376">
        <f t="shared" si="24"/>
        <v>0</v>
      </c>
      <c r="C141" s="376">
        <f t="shared" si="24"/>
        <v>0</v>
      </c>
      <c r="D141" s="376">
        <f t="shared" si="24"/>
        <v>0</v>
      </c>
      <c r="E141" s="376">
        <f t="shared" si="24"/>
        <v>0</v>
      </c>
      <c r="F141" s="376">
        <f t="shared" si="24"/>
        <v>0</v>
      </c>
      <c r="G141" s="376">
        <f t="shared" si="24"/>
        <v>0</v>
      </c>
      <c r="H141" s="376">
        <f t="shared" si="24"/>
        <v>0</v>
      </c>
    </row>
    <row r="142" spans="1:8" hidden="1">
      <c r="A142" s="73"/>
      <c r="B142" s="376"/>
      <c r="C142" s="376"/>
      <c r="D142" s="376"/>
      <c r="E142" s="376"/>
      <c r="F142" s="376"/>
      <c r="G142" s="376"/>
      <c r="H142" s="376"/>
    </row>
    <row r="143" spans="1:8" hidden="1">
      <c r="A143" s="75" t="str">
        <f t="shared" ref="A143:A161" si="25">A91</f>
        <v>Fruit  &amp; Vegetables Crop Production Details</v>
      </c>
      <c r="B143" s="376"/>
      <c r="C143" s="376"/>
      <c r="D143" s="376"/>
      <c r="E143" s="376"/>
      <c r="F143" s="376"/>
      <c r="G143" s="376"/>
      <c r="H143" s="376"/>
    </row>
    <row r="144" spans="1:8" hidden="1">
      <c r="A144" s="73" t="str">
        <f t="shared" si="25"/>
        <v>Onion</v>
      </c>
      <c r="B144" s="376">
        <f t="shared" ref="B144:H153" si="26">B92-(B92*$G$7)</f>
        <v>0</v>
      </c>
      <c r="C144" s="376">
        <f t="shared" si="26"/>
        <v>0</v>
      </c>
      <c r="D144" s="376">
        <f t="shared" si="26"/>
        <v>0</v>
      </c>
      <c r="E144" s="376">
        <f t="shared" si="26"/>
        <v>0</v>
      </c>
      <c r="F144" s="376">
        <f t="shared" si="26"/>
        <v>0</v>
      </c>
      <c r="G144" s="376">
        <f t="shared" si="26"/>
        <v>0</v>
      </c>
      <c r="H144" s="376">
        <f t="shared" si="26"/>
        <v>0</v>
      </c>
    </row>
    <row r="145" spans="1:8" hidden="1">
      <c r="A145" s="73" t="str">
        <f t="shared" si="25"/>
        <v>Tomato</v>
      </c>
      <c r="B145" s="376">
        <f t="shared" si="26"/>
        <v>0</v>
      </c>
      <c r="C145" s="376">
        <f t="shared" si="26"/>
        <v>0</v>
      </c>
      <c r="D145" s="376">
        <f t="shared" si="26"/>
        <v>0</v>
      </c>
      <c r="E145" s="376">
        <f t="shared" si="26"/>
        <v>0</v>
      </c>
      <c r="F145" s="376">
        <f t="shared" si="26"/>
        <v>0</v>
      </c>
      <c r="G145" s="376">
        <f t="shared" si="26"/>
        <v>0</v>
      </c>
      <c r="H145" s="376">
        <f t="shared" si="26"/>
        <v>0</v>
      </c>
    </row>
    <row r="146" spans="1:8" hidden="1">
      <c r="A146" s="73" t="str">
        <f t="shared" si="25"/>
        <v>Okra</v>
      </c>
      <c r="B146" s="376">
        <f t="shared" si="26"/>
        <v>0</v>
      </c>
      <c r="C146" s="376">
        <f t="shared" si="26"/>
        <v>0</v>
      </c>
      <c r="D146" s="376">
        <f t="shared" si="26"/>
        <v>0</v>
      </c>
      <c r="E146" s="376">
        <f t="shared" si="26"/>
        <v>0</v>
      </c>
      <c r="F146" s="376">
        <f t="shared" si="26"/>
        <v>0</v>
      </c>
      <c r="G146" s="376">
        <f t="shared" si="26"/>
        <v>0</v>
      </c>
      <c r="H146" s="376">
        <f t="shared" si="26"/>
        <v>0</v>
      </c>
    </row>
    <row r="147" spans="1:8" hidden="1">
      <c r="A147" s="73" t="str">
        <f t="shared" si="25"/>
        <v>Chilli</v>
      </c>
      <c r="B147" s="376">
        <f t="shared" si="26"/>
        <v>0</v>
      </c>
      <c r="C147" s="376">
        <f t="shared" si="26"/>
        <v>0</v>
      </c>
      <c r="D147" s="376">
        <f t="shared" si="26"/>
        <v>0</v>
      </c>
      <c r="E147" s="376">
        <f t="shared" si="26"/>
        <v>0</v>
      </c>
      <c r="F147" s="376">
        <f t="shared" si="26"/>
        <v>0</v>
      </c>
      <c r="G147" s="376">
        <f t="shared" si="26"/>
        <v>0</v>
      </c>
      <c r="H147" s="376">
        <f t="shared" si="26"/>
        <v>0</v>
      </c>
    </row>
    <row r="148" spans="1:8" hidden="1">
      <c r="A148" s="73" t="str">
        <f t="shared" si="25"/>
        <v>Potato</v>
      </c>
      <c r="B148" s="376">
        <f t="shared" si="26"/>
        <v>0</v>
      </c>
      <c r="C148" s="376">
        <f t="shared" si="26"/>
        <v>0</v>
      </c>
      <c r="D148" s="376">
        <f t="shared" si="26"/>
        <v>0</v>
      </c>
      <c r="E148" s="376">
        <f t="shared" si="26"/>
        <v>0</v>
      </c>
      <c r="F148" s="376">
        <f t="shared" si="26"/>
        <v>0</v>
      </c>
      <c r="G148" s="376">
        <f t="shared" si="26"/>
        <v>0</v>
      </c>
      <c r="H148" s="376">
        <f t="shared" si="26"/>
        <v>0</v>
      </c>
    </row>
    <row r="149" spans="1:8" hidden="1">
      <c r="A149" s="73">
        <f t="shared" si="25"/>
        <v>0</v>
      </c>
      <c r="B149" s="376">
        <f t="shared" si="26"/>
        <v>0</v>
      </c>
      <c r="C149" s="376">
        <f t="shared" si="26"/>
        <v>0</v>
      </c>
      <c r="D149" s="376">
        <f t="shared" si="26"/>
        <v>0</v>
      </c>
      <c r="E149" s="376">
        <f t="shared" si="26"/>
        <v>0</v>
      </c>
      <c r="F149" s="376">
        <f t="shared" si="26"/>
        <v>0</v>
      </c>
      <c r="G149" s="376">
        <f t="shared" si="26"/>
        <v>0</v>
      </c>
      <c r="H149" s="376">
        <f t="shared" si="26"/>
        <v>0</v>
      </c>
    </row>
    <row r="150" spans="1:8" hidden="1">
      <c r="A150" s="73">
        <f t="shared" si="25"/>
        <v>0</v>
      </c>
      <c r="B150" s="376">
        <f t="shared" si="26"/>
        <v>0</v>
      </c>
      <c r="C150" s="376">
        <f t="shared" si="26"/>
        <v>0</v>
      </c>
      <c r="D150" s="376">
        <f t="shared" si="26"/>
        <v>0</v>
      </c>
      <c r="E150" s="376">
        <f t="shared" si="26"/>
        <v>0</v>
      </c>
      <c r="F150" s="376">
        <f t="shared" si="26"/>
        <v>0</v>
      </c>
      <c r="G150" s="376">
        <f t="shared" si="26"/>
        <v>0</v>
      </c>
      <c r="H150" s="376">
        <f t="shared" si="26"/>
        <v>0</v>
      </c>
    </row>
    <row r="151" spans="1:8" hidden="1">
      <c r="A151" s="73">
        <f t="shared" si="25"/>
        <v>0</v>
      </c>
      <c r="B151" s="376">
        <f t="shared" si="26"/>
        <v>0</v>
      </c>
      <c r="C151" s="376">
        <f t="shared" si="26"/>
        <v>0</v>
      </c>
      <c r="D151" s="376">
        <f t="shared" si="26"/>
        <v>0</v>
      </c>
      <c r="E151" s="376">
        <f t="shared" si="26"/>
        <v>0</v>
      </c>
      <c r="F151" s="376">
        <f t="shared" si="26"/>
        <v>0</v>
      </c>
      <c r="G151" s="376">
        <f t="shared" si="26"/>
        <v>0</v>
      </c>
      <c r="H151" s="376">
        <f t="shared" si="26"/>
        <v>0</v>
      </c>
    </row>
    <row r="152" spans="1:8" hidden="1">
      <c r="A152" s="73">
        <f t="shared" si="25"/>
        <v>0</v>
      </c>
      <c r="B152" s="376">
        <f t="shared" si="26"/>
        <v>0</v>
      </c>
      <c r="C152" s="376">
        <f t="shared" si="26"/>
        <v>0</v>
      </c>
      <c r="D152" s="376">
        <f t="shared" si="26"/>
        <v>0</v>
      </c>
      <c r="E152" s="376">
        <f t="shared" si="26"/>
        <v>0</v>
      </c>
      <c r="F152" s="376">
        <f t="shared" si="26"/>
        <v>0</v>
      </c>
      <c r="G152" s="376">
        <f t="shared" si="26"/>
        <v>0</v>
      </c>
      <c r="H152" s="376">
        <f t="shared" si="26"/>
        <v>0</v>
      </c>
    </row>
    <row r="153" spans="1:8" hidden="1">
      <c r="A153" s="73" t="str">
        <f t="shared" si="25"/>
        <v>Onion</v>
      </c>
      <c r="B153" s="376">
        <f t="shared" si="26"/>
        <v>0</v>
      </c>
      <c r="C153" s="376">
        <f t="shared" si="26"/>
        <v>0</v>
      </c>
      <c r="D153" s="376">
        <f t="shared" si="26"/>
        <v>0</v>
      </c>
      <c r="E153" s="376">
        <f t="shared" si="26"/>
        <v>0</v>
      </c>
      <c r="F153" s="376">
        <f t="shared" si="26"/>
        <v>0</v>
      </c>
      <c r="G153" s="376">
        <f t="shared" si="26"/>
        <v>0</v>
      </c>
      <c r="H153" s="376">
        <f t="shared" si="26"/>
        <v>0</v>
      </c>
    </row>
    <row r="154" spans="1:8" hidden="1">
      <c r="A154" s="73" t="str">
        <f t="shared" si="25"/>
        <v>Tomato</v>
      </c>
      <c r="B154" s="376">
        <f t="shared" ref="B154:H161" si="27">B102-(B102*$G$7)</f>
        <v>0</v>
      </c>
      <c r="C154" s="376">
        <f t="shared" si="27"/>
        <v>0</v>
      </c>
      <c r="D154" s="376">
        <f t="shared" si="27"/>
        <v>0</v>
      </c>
      <c r="E154" s="376">
        <f t="shared" si="27"/>
        <v>0</v>
      </c>
      <c r="F154" s="376">
        <f t="shared" si="27"/>
        <v>0</v>
      </c>
      <c r="G154" s="376">
        <f t="shared" si="27"/>
        <v>0</v>
      </c>
      <c r="H154" s="376">
        <f t="shared" si="27"/>
        <v>0</v>
      </c>
    </row>
    <row r="155" spans="1:8" hidden="1">
      <c r="A155" s="73" t="str">
        <f t="shared" si="25"/>
        <v>Okra</v>
      </c>
      <c r="B155" s="376">
        <f t="shared" si="27"/>
        <v>0</v>
      </c>
      <c r="C155" s="376">
        <f t="shared" si="27"/>
        <v>0</v>
      </c>
      <c r="D155" s="376">
        <f t="shared" si="27"/>
        <v>0</v>
      </c>
      <c r="E155" s="376">
        <f t="shared" si="27"/>
        <v>0</v>
      </c>
      <c r="F155" s="376">
        <f t="shared" si="27"/>
        <v>0</v>
      </c>
      <c r="G155" s="376">
        <f t="shared" si="27"/>
        <v>0</v>
      </c>
      <c r="H155" s="376">
        <f t="shared" si="27"/>
        <v>0</v>
      </c>
    </row>
    <row r="156" spans="1:8" hidden="1">
      <c r="A156" s="73" t="str">
        <f t="shared" si="25"/>
        <v>Chilli</v>
      </c>
      <c r="B156" s="376">
        <f t="shared" si="27"/>
        <v>0</v>
      </c>
      <c r="C156" s="376">
        <f t="shared" si="27"/>
        <v>0</v>
      </c>
      <c r="D156" s="376">
        <f t="shared" si="27"/>
        <v>0</v>
      </c>
      <c r="E156" s="376">
        <f t="shared" si="27"/>
        <v>0</v>
      </c>
      <c r="F156" s="376">
        <f t="shared" si="27"/>
        <v>0</v>
      </c>
      <c r="G156" s="376">
        <f t="shared" si="27"/>
        <v>0</v>
      </c>
      <c r="H156" s="376">
        <f t="shared" si="27"/>
        <v>0</v>
      </c>
    </row>
    <row r="157" spans="1:8" hidden="1">
      <c r="A157" s="73" t="str">
        <f t="shared" si="25"/>
        <v>Brinjal</v>
      </c>
      <c r="B157" s="376">
        <f t="shared" si="27"/>
        <v>0</v>
      </c>
      <c r="C157" s="376">
        <f t="shared" si="27"/>
        <v>0</v>
      </c>
      <c r="D157" s="376">
        <f t="shared" si="27"/>
        <v>0</v>
      </c>
      <c r="E157" s="376">
        <f t="shared" si="27"/>
        <v>0</v>
      </c>
      <c r="F157" s="376">
        <f t="shared" si="27"/>
        <v>0</v>
      </c>
      <c r="G157" s="376">
        <f t="shared" si="27"/>
        <v>0</v>
      </c>
      <c r="H157" s="376">
        <f t="shared" si="27"/>
        <v>0</v>
      </c>
    </row>
    <row r="158" spans="1:8" hidden="1">
      <c r="A158" s="73">
        <f t="shared" si="25"/>
        <v>0</v>
      </c>
      <c r="B158" s="376">
        <f t="shared" si="27"/>
        <v>0</v>
      </c>
      <c r="C158" s="376">
        <f t="shared" si="27"/>
        <v>0</v>
      </c>
      <c r="D158" s="376">
        <f t="shared" si="27"/>
        <v>0</v>
      </c>
      <c r="E158" s="376">
        <f t="shared" si="27"/>
        <v>0</v>
      </c>
      <c r="F158" s="376">
        <f t="shared" si="27"/>
        <v>0</v>
      </c>
      <c r="G158" s="376">
        <f t="shared" si="27"/>
        <v>0</v>
      </c>
      <c r="H158" s="376">
        <f t="shared" si="27"/>
        <v>0</v>
      </c>
    </row>
    <row r="159" spans="1:8" hidden="1">
      <c r="A159" s="73">
        <f t="shared" si="25"/>
        <v>0</v>
      </c>
      <c r="B159" s="376">
        <f t="shared" si="27"/>
        <v>0</v>
      </c>
      <c r="C159" s="376">
        <f t="shared" si="27"/>
        <v>0</v>
      </c>
      <c r="D159" s="376">
        <f t="shared" si="27"/>
        <v>0</v>
      </c>
      <c r="E159" s="376">
        <f t="shared" si="27"/>
        <v>0</v>
      </c>
      <c r="F159" s="376">
        <f t="shared" si="27"/>
        <v>0</v>
      </c>
      <c r="G159" s="376">
        <f t="shared" si="27"/>
        <v>0</v>
      </c>
      <c r="H159" s="376">
        <f t="shared" si="27"/>
        <v>0</v>
      </c>
    </row>
    <row r="160" spans="1:8" hidden="1">
      <c r="A160" s="73">
        <f t="shared" si="25"/>
        <v>0</v>
      </c>
      <c r="B160" s="376">
        <f t="shared" si="27"/>
        <v>0</v>
      </c>
      <c r="C160" s="376">
        <f t="shared" si="27"/>
        <v>0</v>
      </c>
      <c r="D160" s="376">
        <f t="shared" si="27"/>
        <v>0</v>
      </c>
      <c r="E160" s="376">
        <f t="shared" si="27"/>
        <v>0</v>
      </c>
      <c r="F160" s="376">
        <f t="shared" si="27"/>
        <v>0</v>
      </c>
      <c r="G160" s="376">
        <f t="shared" si="27"/>
        <v>0</v>
      </c>
      <c r="H160" s="376">
        <f t="shared" si="27"/>
        <v>0</v>
      </c>
    </row>
    <row r="161" spans="1:20" hidden="1">
      <c r="A161" s="73">
        <f t="shared" si="25"/>
        <v>0</v>
      </c>
      <c r="B161" s="376">
        <f t="shared" si="27"/>
        <v>0</v>
      </c>
      <c r="C161" s="376">
        <f t="shared" si="27"/>
        <v>0</v>
      </c>
      <c r="D161" s="376">
        <f t="shared" si="27"/>
        <v>0</v>
      </c>
      <c r="E161" s="376">
        <f t="shared" si="27"/>
        <v>0</v>
      </c>
      <c r="F161" s="376">
        <f t="shared" si="27"/>
        <v>0</v>
      </c>
      <c r="G161" s="376">
        <f t="shared" si="27"/>
        <v>0</v>
      </c>
      <c r="H161" s="376">
        <f t="shared" si="27"/>
        <v>0</v>
      </c>
    </row>
    <row r="162" spans="1:20" hidden="1">
      <c r="A162" s="73">
        <f t="shared" ref="A162:A165" si="28">A110</f>
        <v>0</v>
      </c>
      <c r="B162" s="376">
        <f t="shared" ref="B162:H162" si="29">B110-(B110*$G$7)</f>
        <v>0</v>
      </c>
      <c r="C162" s="376">
        <f t="shared" si="29"/>
        <v>0</v>
      </c>
      <c r="D162" s="376">
        <f t="shared" si="29"/>
        <v>0</v>
      </c>
      <c r="E162" s="376">
        <f t="shared" si="29"/>
        <v>0</v>
      </c>
      <c r="F162" s="376">
        <f t="shared" si="29"/>
        <v>0</v>
      </c>
      <c r="G162" s="376">
        <f t="shared" si="29"/>
        <v>0</v>
      </c>
      <c r="H162" s="376">
        <f t="shared" si="29"/>
        <v>0</v>
      </c>
    </row>
    <row r="163" spans="1:20" hidden="1">
      <c r="A163" s="73">
        <f t="shared" si="28"/>
        <v>0</v>
      </c>
      <c r="B163" s="376">
        <f t="shared" ref="B163:H163" si="30">B111-(B111*$G$7)</f>
        <v>0</v>
      </c>
      <c r="C163" s="376">
        <f t="shared" si="30"/>
        <v>0</v>
      </c>
      <c r="D163" s="376">
        <f t="shared" si="30"/>
        <v>0</v>
      </c>
      <c r="E163" s="376">
        <f t="shared" si="30"/>
        <v>0</v>
      </c>
      <c r="F163" s="376">
        <f t="shared" si="30"/>
        <v>0</v>
      </c>
      <c r="G163" s="376">
        <f t="shared" si="30"/>
        <v>0</v>
      </c>
      <c r="H163" s="376">
        <f t="shared" si="30"/>
        <v>0</v>
      </c>
    </row>
    <row r="164" spans="1:20" hidden="1">
      <c r="A164" s="73">
        <f t="shared" si="28"/>
        <v>0</v>
      </c>
      <c r="B164" s="376">
        <f t="shared" ref="B164:H165" si="31">B112-(B112*$G$7)</f>
        <v>0</v>
      </c>
      <c r="C164" s="376">
        <f t="shared" si="31"/>
        <v>0</v>
      </c>
      <c r="D164" s="376">
        <f t="shared" si="31"/>
        <v>0</v>
      </c>
      <c r="E164" s="376">
        <f t="shared" si="31"/>
        <v>0</v>
      </c>
      <c r="F164" s="376">
        <f t="shared" si="31"/>
        <v>0</v>
      </c>
      <c r="G164" s="376">
        <f t="shared" si="31"/>
        <v>0</v>
      </c>
      <c r="H164" s="376">
        <f t="shared" si="31"/>
        <v>0</v>
      </c>
    </row>
    <row r="165" spans="1:20" hidden="1">
      <c r="A165" s="73" t="str">
        <f t="shared" si="28"/>
        <v>Pomegranate</v>
      </c>
      <c r="B165" s="376">
        <f t="shared" si="31"/>
        <v>0</v>
      </c>
      <c r="C165" s="376">
        <f t="shared" ref="C165:H168" si="32">C113-(C113*$G$7)</f>
        <v>0</v>
      </c>
      <c r="D165" s="376">
        <f t="shared" si="32"/>
        <v>0</v>
      </c>
      <c r="E165" s="376">
        <f t="shared" si="32"/>
        <v>0</v>
      </c>
      <c r="F165" s="376">
        <f t="shared" si="32"/>
        <v>0</v>
      </c>
      <c r="G165" s="376">
        <f t="shared" si="32"/>
        <v>0</v>
      </c>
      <c r="H165" s="376">
        <f t="shared" si="32"/>
        <v>0</v>
      </c>
    </row>
    <row r="166" spans="1:20" hidden="1">
      <c r="A166" s="73" t="str">
        <f>A114</f>
        <v>Custard Apple</v>
      </c>
      <c r="B166" s="376">
        <f>B114-(B114*$G$7)</f>
        <v>0</v>
      </c>
      <c r="C166" s="376">
        <f t="shared" si="32"/>
        <v>0</v>
      </c>
      <c r="D166" s="376">
        <f t="shared" si="32"/>
        <v>0</v>
      </c>
      <c r="E166" s="376">
        <f t="shared" si="32"/>
        <v>0</v>
      </c>
      <c r="F166" s="376">
        <f t="shared" si="32"/>
        <v>0</v>
      </c>
      <c r="G166" s="376">
        <f t="shared" si="32"/>
        <v>0</v>
      </c>
      <c r="H166" s="376">
        <f t="shared" si="32"/>
        <v>0</v>
      </c>
    </row>
    <row r="167" spans="1:20" hidden="1">
      <c r="A167" s="73" t="str">
        <f>A115</f>
        <v>Guava</v>
      </c>
      <c r="B167" s="376">
        <f>B115-(B115*$G$7)</f>
        <v>0</v>
      </c>
      <c r="C167" s="376">
        <f t="shared" si="32"/>
        <v>0</v>
      </c>
      <c r="D167" s="376">
        <f t="shared" si="32"/>
        <v>0</v>
      </c>
      <c r="E167" s="376">
        <f t="shared" si="32"/>
        <v>0</v>
      </c>
      <c r="F167" s="376">
        <f t="shared" si="32"/>
        <v>0</v>
      </c>
      <c r="G167" s="376">
        <f t="shared" si="32"/>
        <v>0</v>
      </c>
      <c r="H167" s="376">
        <f t="shared" si="32"/>
        <v>0</v>
      </c>
    </row>
    <row r="168" spans="1:20" hidden="1">
      <c r="A168" s="73" t="str">
        <f>A116</f>
        <v>Citrus</v>
      </c>
      <c r="B168" s="376">
        <f>B116-(B116*$G$7)</f>
        <v>0</v>
      </c>
      <c r="C168" s="376">
        <f t="shared" si="32"/>
        <v>0</v>
      </c>
      <c r="D168" s="376">
        <f t="shared" si="32"/>
        <v>0</v>
      </c>
      <c r="E168" s="376">
        <f t="shared" si="32"/>
        <v>0</v>
      </c>
      <c r="F168" s="376">
        <f t="shared" si="32"/>
        <v>0</v>
      </c>
      <c r="G168" s="376">
        <f t="shared" si="32"/>
        <v>0</v>
      </c>
      <c r="H168" s="376">
        <f t="shared" si="32"/>
        <v>0</v>
      </c>
    </row>
    <row r="169" spans="1:20">
      <c r="A169" s="72"/>
    </row>
    <row r="170" spans="1:20">
      <c r="A170" s="72"/>
    </row>
    <row r="171" spans="1:20">
      <c r="A171" s="72"/>
    </row>
    <row r="172" spans="1:20" ht="18.75">
      <c r="A172" s="404" t="s">
        <v>782</v>
      </c>
      <c r="B172" s="404"/>
      <c r="C172" s="404"/>
      <c r="D172" s="404"/>
      <c r="E172" s="404"/>
      <c r="F172" s="404"/>
      <c r="G172" s="404"/>
      <c r="H172" s="404"/>
      <c r="I172" s="404"/>
      <c r="J172" s="404"/>
    </row>
    <row r="173" spans="1:20">
      <c r="A173" s="12"/>
      <c r="B173" s="12"/>
      <c r="C173" s="12"/>
      <c r="D173" s="12"/>
      <c r="E173" s="12"/>
      <c r="F173" s="12"/>
      <c r="G173" s="12"/>
      <c r="H173" s="12"/>
    </row>
    <row r="174" spans="1:20">
      <c r="A174" s="162"/>
      <c r="B174" s="162"/>
      <c r="C174" s="162"/>
      <c r="D174" s="163">
        <v>1</v>
      </c>
      <c r="E174" s="164">
        <f>(D174*5%)+D174</f>
        <v>1.05</v>
      </c>
      <c r="F174" s="164">
        <f t="shared" ref="F174:J174" si="33">(E174*5%)+E174</f>
        <v>1.1025</v>
      </c>
      <c r="G174" s="164">
        <f t="shared" si="33"/>
        <v>1.1576250000000001</v>
      </c>
      <c r="H174" s="164">
        <f t="shared" si="33"/>
        <v>1.2155062500000002</v>
      </c>
      <c r="I174" s="164">
        <f t="shared" si="33"/>
        <v>1.2762815625000004</v>
      </c>
      <c r="J174" s="164">
        <f t="shared" si="33"/>
        <v>1.3400956406250004</v>
      </c>
      <c r="K174" s="72"/>
      <c r="L174" s="72"/>
      <c r="M174" s="72"/>
      <c r="N174" s="72"/>
      <c r="O174" s="72"/>
      <c r="P174" s="72"/>
      <c r="Q174" s="72"/>
      <c r="R174" s="72"/>
      <c r="S174" s="72"/>
      <c r="T174" s="72"/>
    </row>
    <row r="175" spans="1:20">
      <c r="A175" s="72"/>
      <c r="B175" s="72"/>
      <c r="C175" s="72"/>
      <c r="D175" s="72"/>
      <c r="E175" s="72"/>
      <c r="F175" s="72"/>
      <c r="G175" s="72"/>
      <c r="H175" s="72"/>
      <c r="I175" s="72"/>
      <c r="J175" s="72"/>
      <c r="K175" s="72"/>
      <c r="L175" s="72"/>
      <c r="M175" s="72"/>
      <c r="N175" s="72"/>
      <c r="O175" s="72"/>
      <c r="P175" s="72"/>
      <c r="Q175" s="72"/>
      <c r="R175" s="72"/>
      <c r="S175" s="72"/>
      <c r="T175" s="72"/>
    </row>
    <row r="176" spans="1:20">
      <c r="A176" s="72"/>
      <c r="B176" s="72"/>
      <c r="C176" s="72"/>
      <c r="D176" s="154"/>
      <c r="E176" s="154"/>
      <c r="F176" s="154"/>
      <c r="G176" s="154"/>
      <c r="H176" s="154"/>
      <c r="I176" s="154"/>
      <c r="J176" s="154"/>
      <c r="K176" s="72"/>
      <c r="L176" s="72"/>
    </row>
    <row r="177" spans="1:12">
      <c r="A177" s="64" t="s">
        <v>0</v>
      </c>
      <c r="B177" s="64"/>
      <c r="C177" s="64" t="s">
        <v>152</v>
      </c>
      <c r="D177" s="65" t="s">
        <v>2</v>
      </c>
      <c r="E177" s="65" t="s">
        <v>3</v>
      </c>
      <c r="F177" s="65" t="s">
        <v>4</v>
      </c>
      <c r="G177" s="65" t="s">
        <v>5</v>
      </c>
      <c r="H177" s="65" t="s">
        <v>6</v>
      </c>
      <c r="I177" s="65" t="s">
        <v>168</v>
      </c>
      <c r="J177" s="65" t="s">
        <v>167</v>
      </c>
      <c r="K177" s="72"/>
      <c r="L177" s="72"/>
    </row>
    <row r="178" spans="1:12">
      <c r="A178" s="75"/>
      <c r="B178" s="75"/>
      <c r="C178" s="75"/>
      <c r="D178" s="73"/>
      <c r="E178" s="73"/>
      <c r="F178" s="73"/>
      <c r="G178" s="73"/>
      <c r="H178" s="73"/>
      <c r="I178" s="73"/>
      <c r="J178" s="73"/>
      <c r="K178" s="72"/>
      <c r="L178" s="72"/>
    </row>
    <row r="179" spans="1:12">
      <c r="A179" s="75" t="s">
        <v>127</v>
      </c>
      <c r="B179" s="75"/>
      <c r="C179" s="75"/>
      <c r="D179" s="73"/>
      <c r="E179" s="73"/>
      <c r="F179" s="73"/>
      <c r="G179" s="73"/>
      <c r="H179" s="73"/>
      <c r="I179" s="73"/>
      <c r="J179" s="73"/>
      <c r="K179" s="72"/>
      <c r="L179" s="72"/>
    </row>
    <row r="180" spans="1:12">
      <c r="A180" s="73" t="s">
        <v>769</v>
      </c>
      <c r="B180" s="73" t="s">
        <v>743</v>
      </c>
      <c r="C180" s="360">
        <f>28*50</f>
        <v>1400</v>
      </c>
      <c r="D180" s="170">
        <f>((((1-'5.Closing Stock &amp; W Capital'!$D$16)*B127)*100)/50)*$C180*D$174</f>
        <v>10027949.294999998</v>
      </c>
      <c r="E180" s="170">
        <f>(((((1-'5.Closing Stock &amp; W Capital'!$D$16)*C127)+('5.Closing Stock &amp; W Capital'!$D$16*B127))*100)/50)*$C180*E$174</f>
        <v>12838414.031624999</v>
      </c>
      <c r="F180" s="170">
        <f>(((((1-'5.Closing Stock &amp; W Capital'!$D$16)*D127)+('5.Closing Stock &amp; W Capital'!$D$16*C127))*100)/50)*$C180*F$174</f>
        <v>15419951.241581252</v>
      </c>
      <c r="G180" s="170">
        <f>(((((1-'5.Closing Stock &amp; W Capital'!$D$16)*E127)+('5.Closing Stock &amp; W Capital'!$D$16*D127))*100)/50)*$C180*G$174</f>
        <v>18227546.137454066</v>
      </c>
      <c r="H180" s="170">
        <f>(((((1-'5.Closing Stock &amp; W Capital'!$D$16)*F127)+('5.Closing Stock &amp; W Capital'!$D$16*E127))*100)/50)*$C180*H$174</f>
        <v>21277350.644810207</v>
      </c>
      <c r="I180" s="170">
        <f>(((((1-'5.Closing Stock &amp; W Capital'!$D$16)*G127)+('5.Closing Stock &amp; W Capital'!$D$16*F127))*100)/50)*$C180*I$174</f>
        <v>24586566.737558324</v>
      </c>
      <c r="J180" s="170">
        <f>(((((1-'5.Closing Stock &amp; W Capital'!$D$16)*H127)+('5.Closing Stock &amp; W Capital'!$D$16*G127))*100)/50)*$C180*J$174</f>
        <v>28173511.062969234</v>
      </c>
      <c r="K180" s="72"/>
      <c r="L180" s="72"/>
    </row>
    <row r="181" spans="1:12">
      <c r="A181" s="73" t="s">
        <v>744</v>
      </c>
      <c r="B181" s="73" t="s">
        <v>353</v>
      </c>
      <c r="C181" s="360">
        <f>23*50</f>
        <v>1150</v>
      </c>
      <c r="D181" s="170">
        <f>((((1-'5.Closing Stock &amp; W Capital'!$D$16)*B129)*100)/50)*$C181*D$174</f>
        <v>13878108.798605999</v>
      </c>
      <c r="E181" s="170">
        <f>(((((1-'5.Closing Stock &amp; W Capital'!$D$16)*C129)+('5.Closing Stock &amp; W Capital'!$D$16*B129))*100)/50)*$C181*E$174</f>
        <v>17767631.396110047</v>
      </c>
      <c r="F181" s="170">
        <f>(((((1-'5.Closing Stock &amp; W Capital'!$D$16)*D129)+('5.Closing Stock &amp; W Capital'!$D$16*C129))*100)/50)*$C181*F$174</f>
        <v>21340331.378277503</v>
      </c>
      <c r="G181" s="170">
        <f>(((((1-'5.Closing Stock &amp; W Capital'!$D$16)*E129)+('5.Closing Stock &amp; W Capital'!$D$16*D129))*100)/50)*$C181*G$174</f>
        <v>25225882.280171424</v>
      </c>
      <c r="H181" s="170">
        <f>(((((1-'5.Closing Stock &amp; W Capital'!$D$16)*F129)+('5.Closing Stock &amp; W Capital'!$D$16*E129))*100)/50)*$C181*H$174</f>
        <v>29446637.443809047</v>
      </c>
      <c r="I181" s="170">
        <f>(((((1-'5.Closing Stock &amp; W Capital'!$D$16)*G129)+('5.Closing Stock &amp; W Capital'!$D$16*F129))*100)/50)*$C181*I$174</f>
        <v>34026403.418110006</v>
      </c>
      <c r="J181" s="170">
        <f>(((((1-'5.Closing Stock &amp; W Capital'!$D$16)*H129)+('5.Closing Stock &amp; W Capital'!$D$16*G129))*100)/50)*$C181*J$174</f>
        <v>38990529.39623154</v>
      </c>
      <c r="K181" s="72"/>
      <c r="L181" s="72"/>
    </row>
    <row r="182" spans="1:12">
      <c r="A182" s="75"/>
      <c r="B182" s="75"/>
      <c r="C182" s="75"/>
      <c r="D182" s="73"/>
      <c r="E182" s="73"/>
      <c r="F182" s="170"/>
      <c r="G182" s="170"/>
      <c r="H182" s="170"/>
      <c r="I182" s="170"/>
      <c r="J182" s="170"/>
      <c r="K182" s="72"/>
      <c r="L182" s="72"/>
    </row>
    <row r="183" spans="1:12">
      <c r="A183" s="75" t="s">
        <v>143</v>
      </c>
      <c r="B183" s="75"/>
      <c r="C183" s="75"/>
      <c r="D183" s="361">
        <f t="shared" ref="D183:J183" si="34">SUM(D180:D182)</f>
        <v>23906058.093605995</v>
      </c>
      <c r="E183" s="361">
        <f t="shared" si="34"/>
        <v>30606045.427735046</v>
      </c>
      <c r="F183" s="361">
        <f t="shared" si="34"/>
        <v>36760282.619858757</v>
      </c>
      <c r="G183" s="361">
        <f t="shared" si="34"/>
        <v>43453428.417625487</v>
      </c>
      <c r="H183" s="361">
        <f t="shared" si="34"/>
        <v>50723988.088619255</v>
      </c>
      <c r="I183" s="361">
        <f t="shared" si="34"/>
        <v>58612970.155668333</v>
      </c>
      <c r="J183" s="361">
        <f t="shared" si="34"/>
        <v>67164040.45920077</v>
      </c>
      <c r="K183" s="72"/>
      <c r="L183" s="72"/>
    </row>
    <row r="184" spans="1:12">
      <c r="A184" s="73"/>
      <c r="B184" s="73"/>
      <c r="C184" s="73"/>
      <c r="D184" s="73"/>
      <c r="E184" s="73"/>
      <c r="F184" s="73"/>
      <c r="G184" s="73"/>
      <c r="H184" s="73"/>
      <c r="I184" s="73"/>
      <c r="J184" s="73"/>
      <c r="K184" s="72"/>
      <c r="L184" s="72"/>
    </row>
    <row r="185" spans="1:12">
      <c r="A185" s="75" t="s">
        <v>142</v>
      </c>
      <c r="B185" s="75"/>
      <c r="C185" s="75"/>
      <c r="D185" s="73"/>
      <c r="E185" s="73"/>
      <c r="F185" s="73"/>
      <c r="G185" s="73"/>
      <c r="H185" s="73"/>
      <c r="I185" s="73"/>
      <c r="J185" s="73"/>
      <c r="K185" s="72"/>
      <c r="L185" s="72"/>
    </row>
    <row r="186" spans="1:12">
      <c r="A186" s="75" t="s">
        <v>305</v>
      </c>
      <c r="B186" s="75"/>
      <c r="C186" s="73"/>
      <c r="D186" s="73"/>
      <c r="E186" s="73"/>
      <c r="F186" s="73"/>
      <c r="G186" s="73"/>
      <c r="H186" s="73"/>
      <c r="I186" s="73"/>
      <c r="J186" s="73"/>
      <c r="K186" s="72"/>
      <c r="L186" s="72"/>
    </row>
    <row r="187" spans="1:12">
      <c r="A187" s="73" t="s">
        <v>388</v>
      </c>
      <c r="B187" s="73" t="s">
        <v>355</v>
      </c>
      <c r="C187" s="165">
        <v>1800</v>
      </c>
      <c r="D187" s="165">
        <f t="shared" ref="D187:J187" si="35">B77*$C$187*D174</f>
        <v>11768159.52</v>
      </c>
      <c r="E187" s="165">
        <f t="shared" si="35"/>
        <v>14415995.411999999</v>
      </c>
      <c r="F187" s="165">
        <f t="shared" si="35"/>
        <v>17299194.494399998</v>
      </c>
      <c r="G187" s="165">
        <f t="shared" si="35"/>
        <v>20434673.496509999</v>
      </c>
      <c r="H187" s="165">
        <f t="shared" si="35"/>
        <v>23840452.412595</v>
      </c>
      <c r="I187" s="165">
        <f t="shared" si="35"/>
        <v>27535722.536547229</v>
      </c>
      <c r="J187" s="165">
        <f t="shared" si="35"/>
        <v>31540918.541863192</v>
      </c>
      <c r="K187" s="72"/>
      <c r="L187" s="72"/>
    </row>
    <row r="188" spans="1:12">
      <c r="A188" s="73" t="s">
        <v>390</v>
      </c>
      <c r="B188" s="73" t="s">
        <v>355</v>
      </c>
      <c r="C188" s="165">
        <v>2300</v>
      </c>
      <c r="D188" s="165">
        <f>B75*$C$188*D174</f>
        <v>8925150</v>
      </c>
      <c r="E188" s="165">
        <f t="shared" ref="E188:J188" si="36">C75*$C$188*E174</f>
        <v>10933308.75</v>
      </c>
      <c r="F188" s="165">
        <f t="shared" si="36"/>
        <v>13119970.5</v>
      </c>
      <c r="G188" s="165">
        <f t="shared" si="36"/>
        <v>15497965.153125001</v>
      </c>
      <c r="H188" s="165">
        <f t="shared" si="36"/>
        <v>18080959.345312502</v>
      </c>
      <c r="I188" s="165">
        <f t="shared" si="36"/>
        <v>20883508.043835942</v>
      </c>
      <c r="J188" s="165">
        <f t="shared" si="36"/>
        <v>23921109.213848449</v>
      </c>
      <c r="K188" s="72"/>
      <c r="L188" s="72"/>
    </row>
    <row r="189" spans="1:12">
      <c r="A189" s="73" t="s">
        <v>306</v>
      </c>
      <c r="B189" s="73">
        <v>5</v>
      </c>
      <c r="C189" s="73">
        <v>300</v>
      </c>
      <c r="D189" s="165">
        <f t="shared" ref="D189:J189" si="37">B10*$B$189*$C$189*D174</f>
        <v>195344.37</v>
      </c>
      <c r="E189" s="165">
        <f t="shared" si="37"/>
        <v>239296.85325000001</v>
      </c>
      <c r="F189" s="165">
        <f t="shared" si="37"/>
        <v>287156.22389999992</v>
      </c>
      <c r="G189" s="165">
        <f t="shared" si="37"/>
        <v>339203.28948187502</v>
      </c>
      <c r="H189" s="165">
        <f t="shared" si="37"/>
        <v>395737.17106218747</v>
      </c>
      <c r="I189" s="165">
        <f t="shared" si="37"/>
        <v>457076.43257682672</v>
      </c>
      <c r="J189" s="165">
        <f t="shared" si="37"/>
        <v>523560.27731527423</v>
      </c>
      <c r="K189" s="72"/>
      <c r="L189" s="72"/>
    </row>
    <row r="190" spans="1:12">
      <c r="A190" s="73" t="s">
        <v>144</v>
      </c>
      <c r="B190" s="73">
        <f>25*0.746*8</f>
        <v>149.19999999999999</v>
      </c>
      <c r="C190" s="73">
        <v>8</v>
      </c>
      <c r="D190" s="165">
        <f t="shared" ref="D190:J190" si="38">B10*$B$190*$C$190*D174</f>
        <v>155442.02668799998</v>
      </c>
      <c r="E190" s="165">
        <f t="shared" si="38"/>
        <v>190416.4826928</v>
      </c>
      <c r="F190" s="165">
        <f t="shared" si="38"/>
        <v>228499.77923135998</v>
      </c>
      <c r="G190" s="165">
        <f t="shared" si="38"/>
        <v>269915.36421704397</v>
      </c>
      <c r="H190" s="165">
        <f t="shared" si="38"/>
        <v>314901.25825321797</v>
      </c>
      <c r="I190" s="165">
        <f t="shared" si="38"/>
        <v>363710.95328246686</v>
      </c>
      <c r="J190" s="165">
        <f t="shared" si="38"/>
        <v>416614.36466900748</v>
      </c>
      <c r="K190" s="72"/>
      <c r="L190" s="72"/>
    </row>
    <row r="191" spans="1:12">
      <c r="A191" s="73" t="s">
        <v>730</v>
      </c>
      <c r="B191" s="73"/>
      <c r="C191" s="160">
        <v>0.02</v>
      </c>
      <c r="D191" s="165">
        <f>'1.Project Cost and MOF'!$D$6*$C$191*D174</f>
        <v>251941.98480000001</v>
      </c>
      <c r="E191" s="165">
        <f>'1.Project Cost and MOF'!$D$6*$C$191*E174</f>
        <v>264539.08404000005</v>
      </c>
      <c r="F191" s="165">
        <f>'1.Project Cost and MOF'!$D$6*$C$191*F174</f>
        <v>277766.03824200004</v>
      </c>
      <c r="G191" s="165">
        <f>'1.Project Cost and MOF'!$D$6*$C$191*G174</f>
        <v>291654.34015410003</v>
      </c>
      <c r="H191" s="165">
        <f>'1.Project Cost and MOF'!$D$6*$C$191*H174</f>
        <v>306237.05716180505</v>
      </c>
      <c r="I191" s="165">
        <f>'1.Project Cost and MOF'!$D$6*$C$191*I174</f>
        <v>321548.91001989535</v>
      </c>
      <c r="J191" s="165">
        <f>'1.Project Cost and MOF'!$D$6*$C$191*J174</f>
        <v>337626.35552089015</v>
      </c>
      <c r="K191" s="72"/>
      <c r="L191" s="72"/>
    </row>
    <row r="192" spans="1:12">
      <c r="A192" s="73" t="s">
        <v>287</v>
      </c>
      <c r="B192" s="73"/>
      <c r="C192" s="73">
        <v>10</v>
      </c>
      <c r="D192" s="165">
        <f t="shared" ref="D192:J192" si="39">((B77*100)/50)*$C$192*D174</f>
        <v>130757.32799999999</v>
      </c>
      <c r="E192" s="165">
        <f t="shared" si="39"/>
        <v>160177.72680000003</v>
      </c>
      <c r="F192" s="165">
        <f t="shared" si="39"/>
        <v>192213.27215999999</v>
      </c>
      <c r="G192" s="165">
        <f t="shared" si="39"/>
        <v>227051.92773899998</v>
      </c>
      <c r="H192" s="165">
        <f t="shared" si="39"/>
        <v>264893.91569549998</v>
      </c>
      <c r="I192" s="165">
        <f t="shared" si="39"/>
        <v>305952.47262830258</v>
      </c>
      <c r="J192" s="165">
        <f t="shared" si="39"/>
        <v>350454.65046514658</v>
      </c>
      <c r="K192" s="72"/>
      <c r="L192" s="72"/>
    </row>
    <row r="193" spans="1:20">
      <c r="A193" s="73" t="s">
        <v>695</v>
      </c>
      <c r="B193" s="73"/>
      <c r="C193" s="73"/>
      <c r="D193" s="165"/>
      <c r="E193" s="165"/>
      <c r="F193" s="165"/>
      <c r="G193" s="165"/>
      <c r="H193" s="165"/>
      <c r="I193" s="165"/>
      <c r="J193" s="165"/>
      <c r="K193" s="72"/>
      <c r="L193" s="72"/>
    </row>
    <row r="194" spans="1:20">
      <c r="A194" s="73" t="s">
        <v>353</v>
      </c>
      <c r="B194" s="73"/>
      <c r="C194" s="73">
        <v>25</v>
      </c>
      <c r="D194" s="165">
        <f>((SUM(B127:B129)*100)/50)*$C$194*D174</f>
        <v>506072.14788</v>
      </c>
      <c r="E194" s="165">
        <f t="shared" ref="E194:J194" si="40">((SUM(C127:C129)*100)/50)*$C$194*E174</f>
        <v>619938.38115300005</v>
      </c>
      <c r="F194" s="165">
        <f t="shared" si="40"/>
        <v>743926.05738360004</v>
      </c>
      <c r="G194" s="165">
        <f t="shared" si="40"/>
        <v>878762.65528437751</v>
      </c>
      <c r="H194" s="165">
        <f t="shared" si="40"/>
        <v>1025223.0978317739</v>
      </c>
      <c r="I194" s="165">
        <f t="shared" si="40"/>
        <v>1184132.677995699</v>
      </c>
      <c r="J194" s="165">
        <f t="shared" si="40"/>
        <v>1356370.1584314371</v>
      </c>
      <c r="K194" s="72"/>
      <c r="L194" s="72"/>
    </row>
    <row r="195" spans="1:20">
      <c r="A195" s="73" t="s">
        <v>729</v>
      </c>
      <c r="B195" s="9"/>
      <c r="C195" s="9">
        <v>30</v>
      </c>
      <c r="D195" s="165">
        <f>((SUM(B127:B129)*100)/50)*$C$195*D174</f>
        <v>607286.57745600003</v>
      </c>
      <c r="E195" s="165">
        <f t="shared" ref="E195:J195" si="41">((SUM(C127:C129)*100)/50)*$C$195*E174</f>
        <v>743926.05738360016</v>
      </c>
      <c r="F195" s="165">
        <f t="shared" si="41"/>
        <v>892711.26886032009</v>
      </c>
      <c r="G195" s="165">
        <f t="shared" si="41"/>
        <v>1054515.1863412531</v>
      </c>
      <c r="H195" s="165">
        <f t="shared" si="41"/>
        <v>1230267.7173981287</v>
      </c>
      <c r="I195" s="165">
        <f t="shared" si="41"/>
        <v>1420959.213594839</v>
      </c>
      <c r="J195" s="165">
        <f t="shared" si="41"/>
        <v>1627644.1901177245</v>
      </c>
      <c r="K195" s="318">
        <f>D195+'13.Facility 2 Cleaning &amp; Gradin'!D156+'17.Facility 6 Roasted Channa '!D169</f>
        <v>764203.752936</v>
      </c>
      <c r="L195" s="72"/>
    </row>
    <row r="196" spans="1:20">
      <c r="A196" s="9"/>
      <c r="B196" s="9"/>
      <c r="C196" s="9"/>
      <c r="D196" s="222"/>
      <c r="E196" s="9"/>
      <c r="F196" s="9"/>
      <c r="G196" s="9"/>
      <c r="H196" s="9"/>
      <c r="I196" s="9"/>
      <c r="J196" s="9"/>
      <c r="K196" s="72">
        <f>63/0.746</f>
        <v>84.450402144772113</v>
      </c>
      <c r="L196" s="72"/>
    </row>
    <row r="197" spans="1:20">
      <c r="A197" s="9"/>
      <c r="B197" s="9"/>
      <c r="C197" s="9"/>
      <c r="D197" s="9"/>
      <c r="E197" s="9"/>
      <c r="F197" s="9"/>
      <c r="G197" s="9"/>
      <c r="H197" s="9"/>
      <c r="I197" s="9"/>
      <c r="J197" s="9"/>
      <c r="K197" s="72"/>
      <c r="L197" s="72"/>
    </row>
    <row r="198" spans="1:20">
      <c r="A198" s="73" t="s">
        <v>334</v>
      </c>
      <c r="B198" s="73"/>
      <c r="C198" s="73"/>
      <c r="D198" s="170"/>
      <c r="E198" s="170">
        <f>'5.Closing Stock &amp; W Capital'!F7</f>
        <v>1127007.6977412</v>
      </c>
      <c r="F198" s="170">
        <f>'5.Closing Stock &amp; W Capital'!G7</f>
        <v>1378379.9373659701</v>
      </c>
      <c r="G198" s="170">
        <f>'5.Closing Stock &amp; W Capital'!H7</f>
        <v>1652071.8817088641</v>
      </c>
      <c r="H198" s="170">
        <f>'5.Closing Stock &amp; W Capital'!I7</f>
        <v>1949687.0706426327</v>
      </c>
      <c r="I198" s="170">
        <f>'5.Closing Stock &amp; W Capital'!J7</f>
        <v>2272933.5987655059</v>
      </c>
      <c r="J198" s="170">
        <f>'5.Closing Stock &amp; W Capital'!K7</f>
        <v>2623630.5620240602</v>
      </c>
      <c r="K198" s="72"/>
      <c r="L198" s="72"/>
    </row>
    <row r="199" spans="1:20">
      <c r="A199" s="73" t="s">
        <v>335</v>
      </c>
      <c r="B199" s="73"/>
      <c r="C199" s="170"/>
      <c r="D199" s="170">
        <f>'5.Closing Stock &amp; W Capital'!E16</f>
        <v>1127007.6977412</v>
      </c>
      <c r="E199" s="170">
        <f>'5.Closing Stock &amp; W Capital'!F16</f>
        <v>1378379.9373659701</v>
      </c>
      <c r="F199" s="170">
        <f>'5.Closing Stock &amp; W Capital'!G16</f>
        <v>1652071.8817088641</v>
      </c>
      <c r="G199" s="170">
        <f>'5.Closing Stock &amp; W Capital'!H16</f>
        <v>1949687.0706426327</v>
      </c>
      <c r="H199" s="170">
        <f>'5.Closing Stock &amp; W Capital'!I16</f>
        <v>2272933.5987655059</v>
      </c>
      <c r="I199" s="170">
        <f>'5.Closing Stock &amp; W Capital'!J16</f>
        <v>2623630.5620240602</v>
      </c>
      <c r="J199" s="170">
        <f>'5.Closing Stock &amp; W Capital'!K16</f>
        <v>3003714.8876115568</v>
      </c>
      <c r="K199" s="72"/>
      <c r="L199" s="72"/>
    </row>
    <row r="200" spans="1:20">
      <c r="A200" s="73"/>
      <c r="B200" s="73"/>
      <c r="C200" s="168"/>
      <c r="D200" s="170"/>
      <c r="E200" s="170"/>
      <c r="F200" s="170"/>
      <c r="G200" s="170"/>
      <c r="H200" s="170"/>
      <c r="I200" s="170"/>
      <c r="J200" s="170"/>
      <c r="K200" s="72"/>
      <c r="L200" s="72"/>
      <c r="M200" s="72"/>
      <c r="N200" s="72"/>
      <c r="O200" s="72"/>
      <c r="P200" s="72"/>
      <c r="Q200" s="72"/>
      <c r="R200" s="72"/>
      <c r="S200" s="72"/>
      <c r="T200" s="72"/>
    </row>
    <row r="201" spans="1:20">
      <c r="A201" s="75" t="s">
        <v>312</v>
      </c>
      <c r="B201" s="75"/>
      <c r="C201" s="75"/>
      <c r="D201" s="360">
        <f t="shared" ref="D201:J201" si="42">SUM(D187:D198)-D199</f>
        <v>21413146.257082801</v>
      </c>
      <c r="E201" s="360">
        <f t="shared" si="42"/>
        <v>27316226.507694628</v>
      </c>
      <c r="F201" s="360">
        <f t="shared" si="42"/>
        <v>32767745.68983439</v>
      </c>
      <c r="G201" s="360">
        <f t="shared" si="42"/>
        <v>38696126.223918885</v>
      </c>
      <c r="H201" s="360">
        <f t="shared" si="42"/>
        <v>45135425.447187245</v>
      </c>
      <c r="I201" s="360">
        <f t="shared" si="42"/>
        <v>52121914.277222648</v>
      </c>
      <c r="J201" s="360">
        <f t="shared" si="42"/>
        <v>59694213.426643625</v>
      </c>
      <c r="K201" s="72"/>
      <c r="L201" s="72"/>
      <c r="M201" s="72"/>
      <c r="N201" s="72"/>
      <c r="O201" s="72"/>
      <c r="P201" s="72"/>
      <c r="Q201" s="72"/>
      <c r="R201" s="72"/>
      <c r="S201" s="72"/>
      <c r="T201" s="72"/>
    </row>
    <row r="202" spans="1:20">
      <c r="A202" s="75" t="s">
        <v>304</v>
      </c>
      <c r="B202" s="73"/>
      <c r="C202" s="73"/>
      <c r="D202" s="86"/>
      <c r="E202" s="86"/>
      <c r="F202" s="86"/>
      <c r="G202" s="86"/>
      <c r="H202" s="86"/>
      <c r="I202" s="73"/>
      <c r="J202" s="73"/>
      <c r="K202" s="72"/>
      <c r="L202" s="72"/>
      <c r="M202" s="72"/>
      <c r="N202" s="72"/>
      <c r="O202" s="72"/>
      <c r="P202" s="72"/>
      <c r="Q202" s="72"/>
      <c r="R202" s="72"/>
      <c r="S202" s="72"/>
      <c r="T202" s="72"/>
    </row>
    <row r="203" spans="1:20">
      <c r="A203" s="73" t="s">
        <v>184</v>
      </c>
      <c r="B203" s="73">
        <v>1</v>
      </c>
      <c r="C203" s="165">
        <v>12000</v>
      </c>
      <c r="D203" s="165">
        <f>$B203*$C203*12*D$174</f>
        <v>144000</v>
      </c>
      <c r="E203" s="165">
        <f t="shared" ref="E203:J204" si="43">$B203*$C203*12*E$174</f>
        <v>151200</v>
      </c>
      <c r="F203" s="165">
        <f t="shared" si="43"/>
        <v>158760</v>
      </c>
      <c r="G203" s="165">
        <f t="shared" si="43"/>
        <v>166698.00000000003</v>
      </c>
      <c r="H203" s="165">
        <f t="shared" si="43"/>
        <v>175032.90000000002</v>
      </c>
      <c r="I203" s="165">
        <f t="shared" si="43"/>
        <v>183784.54500000004</v>
      </c>
      <c r="J203" s="165">
        <f t="shared" si="43"/>
        <v>192973.77225000007</v>
      </c>
      <c r="K203" s="72"/>
      <c r="L203" s="72"/>
      <c r="M203" s="72"/>
      <c r="N203" s="72"/>
      <c r="O203" s="72"/>
      <c r="P203" s="72"/>
      <c r="Q203" s="72"/>
      <c r="R203" s="72"/>
      <c r="S203" s="72"/>
      <c r="T203" s="72"/>
    </row>
    <row r="204" spans="1:20">
      <c r="A204" s="73" t="s">
        <v>189</v>
      </c>
      <c r="B204" s="73">
        <v>1</v>
      </c>
      <c r="C204" s="165">
        <v>8000</v>
      </c>
      <c r="D204" s="165">
        <f>$B204*$C204*12*D$174</f>
        <v>96000</v>
      </c>
      <c r="E204" s="165">
        <f t="shared" si="43"/>
        <v>100800</v>
      </c>
      <c r="F204" s="165">
        <f t="shared" si="43"/>
        <v>105840</v>
      </c>
      <c r="G204" s="165">
        <f t="shared" si="43"/>
        <v>111132.00000000001</v>
      </c>
      <c r="H204" s="165">
        <f t="shared" si="43"/>
        <v>116688.60000000002</v>
      </c>
      <c r="I204" s="165">
        <f t="shared" si="43"/>
        <v>122523.03000000003</v>
      </c>
      <c r="J204" s="165">
        <f t="shared" si="43"/>
        <v>128649.18150000004</v>
      </c>
      <c r="K204" s="72"/>
      <c r="L204" s="72"/>
      <c r="M204" s="72"/>
      <c r="N204" s="72"/>
      <c r="O204" s="72"/>
      <c r="P204" s="72"/>
      <c r="Q204" s="72"/>
      <c r="R204" s="72"/>
      <c r="S204" s="72"/>
      <c r="T204" s="72"/>
    </row>
    <row r="205" spans="1:20">
      <c r="A205" s="73"/>
      <c r="B205" s="73"/>
      <c r="C205" s="165"/>
      <c r="D205" s="165"/>
      <c r="E205" s="165"/>
      <c r="F205" s="165"/>
      <c r="G205" s="165"/>
      <c r="H205" s="165"/>
      <c r="I205" s="165"/>
      <c r="J205" s="165"/>
      <c r="K205" s="72"/>
      <c r="L205" s="72"/>
      <c r="M205" s="72"/>
      <c r="N205" s="72"/>
      <c r="O205" s="72"/>
      <c r="P205" s="72"/>
      <c r="Q205" s="72"/>
      <c r="R205" s="72"/>
      <c r="S205" s="72"/>
      <c r="T205" s="72"/>
    </row>
    <row r="206" spans="1:20">
      <c r="A206" s="73"/>
      <c r="B206" s="73"/>
      <c r="C206" s="165"/>
      <c r="D206" s="165"/>
      <c r="E206" s="165"/>
      <c r="F206" s="165"/>
      <c r="G206" s="165"/>
      <c r="H206" s="165"/>
      <c r="I206" s="165"/>
      <c r="J206" s="165"/>
      <c r="K206" s="72"/>
      <c r="L206" s="72"/>
      <c r="M206" s="72"/>
      <c r="N206" s="72"/>
      <c r="O206" s="72"/>
      <c r="P206" s="72"/>
      <c r="Q206" s="72"/>
      <c r="R206" s="72"/>
      <c r="S206" s="72"/>
      <c r="T206" s="72"/>
    </row>
    <row r="207" spans="1:20">
      <c r="A207" s="73"/>
      <c r="B207" s="73"/>
      <c r="C207" s="165"/>
      <c r="D207" s="165"/>
      <c r="E207" s="165"/>
      <c r="F207" s="165"/>
      <c r="G207" s="165"/>
      <c r="H207" s="165"/>
      <c r="I207" s="165"/>
      <c r="J207" s="165"/>
      <c r="K207" s="72"/>
      <c r="L207" s="72"/>
      <c r="M207" s="72"/>
      <c r="N207" s="72"/>
      <c r="O207" s="72"/>
      <c r="P207" s="72"/>
      <c r="Q207" s="72"/>
      <c r="R207" s="72"/>
      <c r="S207" s="72"/>
      <c r="T207" s="72"/>
    </row>
    <row r="208" spans="1:20">
      <c r="A208" s="75" t="s">
        <v>316</v>
      </c>
      <c r="B208" s="75"/>
      <c r="C208" s="75"/>
      <c r="D208" s="360">
        <f t="shared" ref="D208:J208" si="44">SUM(D203:D207)</f>
        <v>240000</v>
      </c>
      <c r="E208" s="360">
        <f t="shared" si="44"/>
        <v>252000</v>
      </c>
      <c r="F208" s="360">
        <f t="shared" si="44"/>
        <v>264600</v>
      </c>
      <c r="G208" s="360">
        <f t="shared" si="44"/>
        <v>277830.00000000006</v>
      </c>
      <c r="H208" s="360">
        <f t="shared" si="44"/>
        <v>291721.50000000006</v>
      </c>
      <c r="I208" s="360">
        <f t="shared" si="44"/>
        <v>306307.57500000007</v>
      </c>
      <c r="J208" s="360">
        <f t="shared" si="44"/>
        <v>321622.9537500001</v>
      </c>
      <c r="K208" s="72"/>
      <c r="L208" s="72"/>
      <c r="M208" s="72"/>
      <c r="N208" s="158"/>
      <c r="O208" s="72"/>
      <c r="P208" s="72"/>
      <c r="Q208" s="72"/>
      <c r="R208" s="72"/>
      <c r="S208" s="72"/>
      <c r="T208" s="72"/>
    </row>
    <row r="209" spans="1:20">
      <c r="A209" s="75" t="s">
        <v>130</v>
      </c>
      <c r="B209" s="75"/>
      <c r="C209" s="75"/>
      <c r="D209" s="360">
        <f t="shared" ref="D209:J209" si="45">D201+D208</f>
        <v>21653146.257082801</v>
      </c>
      <c r="E209" s="360">
        <f t="shared" si="45"/>
        <v>27568226.507694628</v>
      </c>
      <c r="F209" s="360">
        <f t="shared" si="45"/>
        <v>33032345.68983439</v>
      </c>
      <c r="G209" s="360">
        <f t="shared" si="45"/>
        <v>38973956.223918885</v>
      </c>
      <c r="H209" s="360">
        <f t="shared" si="45"/>
        <v>45427146.947187245</v>
      </c>
      <c r="I209" s="360">
        <f t="shared" si="45"/>
        <v>52428221.852222651</v>
      </c>
      <c r="J209" s="360">
        <f t="shared" si="45"/>
        <v>60015836.380393624</v>
      </c>
      <c r="K209" s="72"/>
      <c r="L209" s="72"/>
      <c r="M209" s="72"/>
      <c r="N209" s="72"/>
      <c r="O209" s="72"/>
      <c r="P209" s="72"/>
      <c r="Q209" s="72"/>
      <c r="R209" s="72"/>
      <c r="S209" s="72"/>
      <c r="T209" s="72"/>
    </row>
    <row r="210" spans="1:20">
      <c r="A210" s="73"/>
      <c r="B210" s="73"/>
      <c r="C210" s="73"/>
      <c r="D210" s="86"/>
      <c r="E210" s="86"/>
      <c r="F210" s="86"/>
      <c r="G210" s="86"/>
      <c r="H210" s="86"/>
      <c r="I210" s="73"/>
      <c r="J210" s="73"/>
      <c r="K210" s="72"/>
      <c r="L210" s="72"/>
      <c r="M210" s="72"/>
      <c r="N210" s="72"/>
      <c r="O210" s="72"/>
      <c r="P210" s="72"/>
      <c r="Q210" s="72"/>
      <c r="R210" s="72"/>
      <c r="S210" s="72"/>
      <c r="T210" s="72"/>
    </row>
    <row r="211" spans="1:20">
      <c r="A211" s="75"/>
      <c r="B211" s="75"/>
      <c r="C211" s="75"/>
      <c r="D211" s="86"/>
      <c r="E211" s="86"/>
      <c r="F211" s="86"/>
      <c r="G211" s="86"/>
      <c r="H211" s="86"/>
      <c r="I211" s="73"/>
      <c r="J211" s="73"/>
      <c r="K211" s="72"/>
      <c r="L211" s="72"/>
      <c r="M211" s="72"/>
      <c r="N211" s="72"/>
      <c r="O211" s="72"/>
      <c r="P211" s="72"/>
      <c r="Q211" s="72"/>
      <c r="R211" s="72"/>
      <c r="S211" s="72"/>
      <c r="T211" s="72"/>
    </row>
    <row r="212" spans="1:20">
      <c r="A212" s="75" t="s">
        <v>308</v>
      </c>
      <c r="B212" s="75"/>
      <c r="C212" s="75"/>
      <c r="D212" s="360">
        <f t="shared" ref="D212:J212" si="46">D183-D209</f>
        <v>2252911.8365231939</v>
      </c>
      <c r="E212" s="360">
        <f t="shared" si="46"/>
        <v>3037818.9200404175</v>
      </c>
      <c r="F212" s="360">
        <f t="shared" si="46"/>
        <v>3727936.9300243668</v>
      </c>
      <c r="G212" s="360">
        <f t="shared" si="46"/>
        <v>4479472.1937066019</v>
      </c>
      <c r="H212" s="360">
        <f t="shared" si="46"/>
        <v>5296841.1414320096</v>
      </c>
      <c r="I212" s="360">
        <f t="shared" si="46"/>
        <v>6184748.3034456819</v>
      </c>
      <c r="J212" s="360">
        <f t="shared" si="46"/>
        <v>7148204.0788071454</v>
      </c>
      <c r="K212" s="72"/>
      <c r="L212" s="72"/>
      <c r="M212" s="72"/>
      <c r="N212" s="72"/>
      <c r="O212" s="72"/>
      <c r="P212" s="72"/>
      <c r="Q212" s="72"/>
      <c r="R212" s="72"/>
      <c r="S212" s="72"/>
      <c r="T212" s="72"/>
    </row>
    <row r="213" spans="1:20">
      <c r="A213" s="72"/>
      <c r="B213" s="72"/>
      <c r="C213" s="72"/>
      <c r="D213" s="72"/>
      <c r="E213" s="72"/>
      <c r="F213" s="72"/>
      <c r="G213" s="72"/>
      <c r="H213" s="72"/>
      <c r="I213" s="72"/>
      <c r="J213" s="72"/>
    </row>
    <row r="214" spans="1:20">
      <c r="A214" s="72" t="s">
        <v>51</v>
      </c>
      <c r="B214" s="72"/>
      <c r="C214" s="72"/>
      <c r="D214" s="72"/>
      <c r="E214" s="72"/>
      <c r="F214" s="72"/>
      <c r="G214" s="72"/>
      <c r="H214" s="72"/>
      <c r="I214" s="72"/>
      <c r="J214" s="72"/>
    </row>
    <row r="215" spans="1:20">
      <c r="A215" s="406" t="s">
        <v>409</v>
      </c>
      <c r="B215" s="406"/>
      <c r="C215" s="406"/>
      <c r="D215" s="406"/>
      <c r="E215" s="406"/>
      <c r="F215" s="406"/>
      <c r="G215" s="406"/>
      <c r="H215" s="406"/>
      <c r="I215" s="406"/>
      <c r="J215" s="406"/>
    </row>
    <row r="217" spans="1:20">
      <c r="A217" t="s">
        <v>521</v>
      </c>
    </row>
    <row r="218" spans="1:20">
      <c r="A218">
        <v>1</v>
      </c>
      <c r="B218" t="s">
        <v>534</v>
      </c>
    </row>
    <row r="219" spans="1:20">
      <c r="A219">
        <v>2</v>
      </c>
      <c r="B219" t="s">
        <v>535</v>
      </c>
    </row>
    <row r="220" spans="1:20">
      <c r="A220">
        <v>3</v>
      </c>
      <c r="B220" s="72" t="s">
        <v>579</v>
      </c>
    </row>
  </sheetData>
  <mergeCells count="5">
    <mergeCell ref="A172:J172"/>
    <mergeCell ref="A2:H2"/>
    <mergeCell ref="A215:J215"/>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L183"/>
  <sheetViews>
    <sheetView view="pageBreakPreview" topLeftCell="A159" zoomScale="80" zoomScaleSheetLayoutView="80" workbookViewId="0">
      <selection activeCell="B192" sqref="B192"/>
    </sheetView>
  </sheetViews>
  <sheetFormatPr defaultRowHeight="15"/>
  <cols>
    <col min="1" max="1" width="35.85546875" customWidth="1"/>
    <col min="2" max="2" width="10.5703125" customWidth="1"/>
    <col min="3" max="3" width="10.5703125" bestFit="1" customWidth="1"/>
    <col min="4" max="4" width="13.140625" customWidth="1"/>
    <col min="5" max="5" width="14" customWidth="1"/>
    <col min="6" max="7" width="13.85546875" customWidth="1"/>
    <col min="8" max="8" width="13.7109375" customWidth="1"/>
    <col min="9" max="10" width="16.85546875" bestFit="1" customWidth="1"/>
    <col min="11" max="12" width="11.7109375" bestFit="1" customWidth="1"/>
    <col min="15" max="15" width="10.140625" bestFit="1" customWidth="1"/>
  </cols>
  <sheetData>
    <row r="3" spans="1:8" ht="18.75">
      <c r="A3" s="404" t="s">
        <v>779</v>
      </c>
      <c r="B3" s="404"/>
      <c r="C3" s="404"/>
      <c r="D3" s="404"/>
      <c r="E3" s="404"/>
      <c r="F3" s="404"/>
      <c r="G3" s="404"/>
      <c r="H3" s="404"/>
    </row>
    <row r="4" spans="1:8" ht="18.75">
      <c r="A4" s="404" t="s">
        <v>567</v>
      </c>
      <c r="B4" s="404"/>
      <c r="C4" s="404"/>
      <c r="D4" s="404"/>
      <c r="E4" s="404"/>
      <c r="F4" s="404"/>
      <c r="G4" s="404"/>
      <c r="H4" s="404"/>
    </row>
    <row r="5" spans="1:8">
      <c r="A5" s="72" t="s">
        <v>160</v>
      </c>
      <c r="B5" s="207">
        <v>40</v>
      </c>
      <c r="C5" s="72" t="s">
        <v>457</v>
      </c>
      <c r="D5" s="72"/>
      <c r="E5" s="72"/>
      <c r="F5" s="72"/>
      <c r="G5" s="72"/>
      <c r="H5" s="72"/>
    </row>
    <row r="6" spans="1:8">
      <c r="A6" s="72" t="s">
        <v>161</v>
      </c>
      <c r="B6" s="232">
        <v>8</v>
      </c>
      <c r="C6" s="72"/>
      <c r="D6" s="72"/>
      <c r="E6" s="72"/>
      <c r="F6" s="72"/>
      <c r="G6" s="72"/>
      <c r="H6" s="72"/>
    </row>
    <row r="7" spans="1:8">
      <c r="A7" s="72"/>
      <c r="B7" s="232"/>
      <c r="C7" s="72"/>
      <c r="D7" s="72"/>
      <c r="E7" s="72"/>
      <c r="F7" s="72"/>
      <c r="G7" s="72"/>
      <c r="H7" s="72"/>
    </row>
    <row r="8" spans="1:8">
      <c r="A8" s="72"/>
      <c r="B8" s="232"/>
      <c r="C8" s="72"/>
      <c r="D8" s="72"/>
      <c r="E8" s="72"/>
      <c r="F8" s="72"/>
      <c r="G8" s="72"/>
      <c r="H8" s="72"/>
    </row>
    <row r="9" spans="1:8">
      <c r="A9" s="72"/>
      <c r="B9" s="72"/>
      <c r="C9" s="72"/>
      <c r="D9" s="72"/>
      <c r="E9" s="72"/>
      <c r="F9" s="72"/>
      <c r="G9" s="72"/>
      <c r="H9" s="72"/>
    </row>
    <row r="10" spans="1:8">
      <c r="A10" s="72"/>
      <c r="B10" s="159"/>
      <c r="C10" s="72"/>
      <c r="D10" s="72"/>
      <c r="E10" s="72"/>
      <c r="F10" s="72"/>
      <c r="G10" s="72"/>
      <c r="H10" s="72"/>
    </row>
    <row r="11" spans="1:8">
      <c r="A11" s="64" t="s">
        <v>0</v>
      </c>
      <c r="B11" s="65" t="s">
        <v>2</v>
      </c>
      <c r="C11" s="65" t="s">
        <v>3</v>
      </c>
      <c r="D11" s="65" t="s">
        <v>4</v>
      </c>
      <c r="E11" s="65" t="s">
        <v>5</v>
      </c>
      <c r="F11" s="65" t="s">
        <v>6</v>
      </c>
      <c r="G11" s="65" t="s">
        <v>168</v>
      </c>
      <c r="H11" s="65" t="s">
        <v>167</v>
      </c>
    </row>
    <row r="12" spans="1:8">
      <c r="A12" s="73" t="s">
        <v>169</v>
      </c>
      <c r="B12" s="257">
        <f>B32/($B$5*$B$6)</f>
        <v>138.509596875</v>
      </c>
      <c r="C12" s="257">
        <f t="shared" ref="C12:H12" si="0">C32/($B$5*$B$6)</f>
        <v>153.16899406250002</v>
      </c>
      <c r="D12" s="257">
        <f t="shared" si="0"/>
        <v>167.82839125000001</v>
      </c>
      <c r="E12" s="257">
        <f t="shared" si="0"/>
        <v>182.48778843750006</v>
      </c>
      <c r="F12" s="257">
        <f t="shared" si="0"/>
        <v>197.14718562500005</v>
      </c>
      <c r="G12" s="257">
        <f t="shared" si="0"/>
        <v>211.80658281250007</v>
      </c>
      <c r="H12" s="257">
        <f t="shared" si="0"/>
        <v>226.46598000000009</v>
      </c>
    </row>
    <row r="13" spans="1:8" hidden="1">
      <c r="A13" s="73" t="str">
        <f>'10.Grain Production details'!A67</f>
        <v>Soybean</v>
      </c>
      <c r="B13" s="73">
        <f>'10.Grain Production details'!B67</f>
        <v>0</v>
      </c>
      <c r="C13" s="73">
        <f>'10.Grain Production details'!C67</f>
        <v>0</v>
      </c>
      <c r="D13" s="73">
        <f>'10.Grain Production details'!D67</f>
        <v>0</v>
      </c>
      <c r="E13" s="73">
        <f>'10.Grain Production details'!E67</f>
        <v>0</v>
      </c>
      <c r="F13" s="73">
        <f>'10.Grain Production details'!F67</f>
        <v>0</v>
      </c>
      <c r="G13" s="73">
        <f>'10.Grain Production details'!G67</f>
        <v>0</v>
      </c>
      <c r="H13" s="73">
        <f>'10.Grain Production details'!H67</f>
        <v>0</v>
      </c>
    </row>
    <row r="14" spans="1:8" hidden="1">
      <c r="A14" s="73" t="str">
        <f>'10.Grain Production details'!A68</f>
        <v>Red Gram/Tur</v>
      </c>
      <c r="B14" s="73">
        <f>'10.Grain Production details'!B68</f>
        <v>0</v>
      </c>
      <c r="C14" s="73">
        <f>'10.Grain Production details'!C68</f>
        <v>0</v>
      </c>
      <c r="D14" s="73">
        <f>'10.Grain Production details'!D68</f>
        <v>0</v>
      </c>
      <c r="E14" s="73">
        <f>'10.Grain Production details'!E68</f>
        <v>0</v>
      </c>
      <c r="F14" s="73">
        <f>'10.Grain Production details'!F68</f>
        <v>0</v>
      </c>
      <c r="G14" s="73">
        <f>'10.Grain Production details'!G68</f>
        <v>0</v>
      </c>
      <c r="H14" s="73">
        <f>'10.Grain Production details'!H68</f>
        <v>0</v>
      </c>
    </row>
    <row r="15" spans="1:8" hidden="1">
      <c r="A15" s="73" t="str">
        <f>'10.Grain Production details'!A69</f>
        <v>Paddy/Rice</v>
      </c>
      <c r="B15" s="73">
        <f>'10.Grain Production details'!B69</f>
        <v>0</v>
      </c>
      <c r="C15" s="73">
        <f>'10.Grain Production details'!C69</f>
        <v>0</v>
      </c>
      <c r="D15" s="73">
        <f>'10.Grain Production details'!D69</f>
        <v>0</v>
      </c>
      <c r="E15" s="73">
        <f>'10.Grain Production details'!E69</f>
        <v>0</v>
      </c>
      <c r="F15" s="73">
        <f>'10.Grain Production details'!F69</f>
        <v>0</v>
      </c>
      <c r="G15" s="73">
        <f>'10.Grain Production details'!G69</f>
        <v>0</v>
      </c>
      <c r="H15" s="73">
        <f>'10.Grain Production details'!H69</f>
        <v>0</v>
      </c>
    </row>
    <row r="16" spans="1:8" hidden="1">
      <c r="A16" s="73" t="str">
        <f>'10.Grain Production details'!A70</f>
        <v>Green Gram/ Moong</v>
      </c>
      <c r="B16" s="73">
        <f>'10.Grain Production details'!B70</f>
        <v>0</v>
      </c>
      <c r="C16" s="73">
        <f>'10.Grain Production details'!C70</f>
        <v>0</v>
      </c>
      <c r="D16" s="73">
        <f>'10.Grain Production details'!D70</f>
        <v>0</v>
      </c>
      <c r="E16" s="73">
        <f>'10.Grain Production details'!E70</f>
        <v>0</v>
      </c>
      <c r="F16" s="73">
        <f>'10.Grain Production details'!F70</f>
        <v>0</v>
      </c>
      <c r="G16" s="73">
        <f>'10.Grain Production details'!G70</f>
        <v>0</v>
      </c>
      <c r="H16" s="73">
        <f>'10.Grain Production details'!H70</f>
        <v>0</v>
      </c>
    </row>
    <row r="17" spans="1:8" hidden="1">
      <c r="A17" s="73" t="str">
        <f>'10.Grain Production details'!A71</f>
        <v>Maize</v>
      </c>
      <c r="B17" s="73">
        <f>'10.Grain Production details'!B71</f>
        <v>0</v>
      </c>
      <c r="C17" s="73">
        <f>'10.Grain Production details'!C71</f>
        <v>0</v>
      </c>
      <c r="D17" s="73">
        <f>'10.Grain Production details'!D71</f>
        <v>0</v>
      </c>
      <c r="E17" s="73">
        <f>'10.Grain Production details'!E71</f>
        <v>0</v>
      </c>
      <c r="F17" s="73">
        <f>'10.Grain Production details'!F71</f>
        <v>0</v>
      </c>
      <c r="G17" s="73">
        <f>'10.Grain Production details'!G71</f>
        <v>0</v>
      </c>
      <c r="H17" s="73">
        <f>'10.Grain Production details'!H71</f>
        <v>0</v>
      </c>
    </row>
    <row r="18" spans="1:8" hidden="1">
      <c r="A18" s="73" t="str">
        <f>'10.Grain Production details'!A72</f>
        <v>Black Gram/Udid</v>
      </c>
      <c r="B18" s="73">
        <f>'10.Grain Production details'!B72</f>
        <v>0</v>
      </c>
      <c r="C18" s="73">
        <f>'10.Grain Production details'!C72</f>
        <v>0</v>
      </c>
      <c r="D18" s="73">
        <f>'10.Grain Production details'!D72</f>
        <v>0</v>
      </c>
      <c r="E18" s="73">
        <f>'10.Grain Production details'!E72</f>
        <v>0</v>
      </c>
      <c r="F18" s="73">
        <f>'10.Grain Production details'!F72</f>
        <v>0</v>
      </c>
      <c r="G18" s="73">
        <f>'10.Grain Production details'!G72</f>
        <v>0</v>
      </c>
      <c r="H18" s="73">
        <f>'10.Grain Production details'!H72</f>
        <v>0</v>
      </c>
    </row>
    <row r="19" spans="1:8" hidden="1">
      <c r="A19" s="73" t="str">
        <f>'10.Grain Production details'!A73</f>
        <v>Bajra</v>
      </c>
      <c r="B19" s="73">
        <f>'10.Grain Production details'!B73</f>
        <v>0</v>
      </c>
      <c r="C19" s="73">
        <f>'10.Grain Production details'!C73</f>
        <v>0</v>
      </c>
      <c r="D19" s="73">
        <f>'10.Grain Production details'!D73</f>
        <v>0</v>
      </c>
      <c r="E19" s="73">
        <f>'10.Grain Production details'!E73</f>
        <v>0</v>
      </c>
      <c r="F19" s="73">
        <f>'10.Grain Production details'!F73</f>
        <v>0</v>
      </c>
      <c r="G19" s="73">
        <f>'10.Grain Production details'!G73</f>
        <v>0</v>
      </c>
      <c r="H19" s="73">
        <f>'10.Grain Production details'!H73</f>
        <v>0</v>
      </c>
    </row>
    <row r="20" spans="1:8" hidden="1">
      <c r="A20" s="73" t="str">
        <f>'10.Grain Production details'!A74</f>
        <v>Jawar</v>
      </c>
      <c r="B20" s="73">
        <f>'10.Grain Production details'!B74</f>
        <v>3880.5</v>
      </c>
      <c r="C20" s="73">
        <f>'10.Grain Production details'!C74</f>
        <v>4527.25</v>
      </c>
      <c r="D20" s="73">
        <f>'10.Grain Production details'!D74</f>
        <v>5174</v>
      </c>
      <c r="E20" s="73">
        <f>'10.Grain Production details'!E74</f>
        <v>5820.75</v>
      </c>
      <c r="F20" s="73">
        <f>'10.Grain Production details'!F74</f>
        <v>6467.5</v>
      </c>
      <c r="G20" s="73">
        <f>'10.Grain Production details'!G74</f>
        <v>7114.25</v>
      </c>
      <c r="H20" s="73">
        <f>'10.Grain Production details'!H74</f>
        <v>7761.0000000000009</v>
      </c>
    </row>
    <row r="21" spans="1:8" hidden="1">
      <c r="A21" s="73" t="str">
        <f>'10.Grain Production details'!A75</f>
        <v>Sunflower</v>
      </c>
      <c r="B21" s="73">
        <f>'10.Grain Production details'!B75</f>
        <v>0</v>
      </c>
      <c r="C21" s="73">
        <f>'10.Grain Production details'!C75</f>
        <v>0</v>
      </c>
      <c r="D21" s="73">
        <f>'10.Grain Production details'!D75</f>
        <v>0</v>
      </c>
      <c r="E21" s="73">
        <f>'10.Grain Production details'!E75</f>
        <v>0</v>
      </c>
      <c r="F21" s="73">
        <f>'10.Grain Production details'!F75</f>
        <v>0</v>
      </c>
      <c r="G21" s="73">
        <f>'10.Grain Production details'!G75</f>
        <v>0</v>
      </c>
      <c r="H21" s="73">
        <f>'10.Grain Production details'!H75</f>
        <v>0</v>
      </c>
    </row>
    <row r="22" spans="1:8">
      <c r="A22" s="73" t="str">
        <f>'10.Grain Production details'!A42</f>
        <v>Soybean</v>
      </c>
      <c r="B22" s="73">
        <f>'10.Grain Production details'!B42</f>
        <v>13568.815000000001</v>
      </c>
      <c r="C22" s="73">
        <f>'10.Grain Production details'!C42</f>
        <v>14925.696500000002</v>
      </c>
      <c r="D22" s="73">
        <f>'10.Grain Production details'!D42</f>
        <v>16282.578000000003</v>
      </c>
      <c r="E22" s="73">
        <f>'10.Grain Production details'!E42</f>
        <v>17639.459500000004</v>
      </c>
      <c r="F22" s="73">
        <f>'10.Grain Production details'!F42</f>
        <v>18996.341000000004</v>
      </c>
      <c r="G22" s="73">
        <f>'10.Grain Production details'!G42</f>
        <v>20353.222500000003</v>
      </c>
      <c r="H22" s="73">
        <f>'10.Grain Production details'!H42</f>
        <v>21710.104000000007</v>
      </c>
    </row>
    <row r="23" spans="1:8">
      <c r="A23" s="73" t="str">
        <f>'10.Grain Production details'!A43</f>
        <v>Red Gram/Tur</v>
      </c>
      <c r="B23" s="73">
        <f>'10.Grain Production details'!B43</f>
        <v>8873.41</v>
      </c>
      <c r="C23" s="73">
        <f>'10.Grain Production details'!C43</f>
        <v>9760.7510000000002</v>
      </c>
      <c r="D23" s="73">
        <f>'10.Grain Production details'!D43</f>
        <v>10648.092000000001</v>
      </c>
      <c r="E23" s="73">
        <f>'10.Grain Production details'!E43</f>
        <v>11535.433000000003</v>
      </c>
      <c r="F23" s="73">
        <f>'10.Grain Production details'!F43</f>
        <v>12422.774000000003</v>
      </c>
      <c r="G23" s="73">
        <f>'10.Grain Production details'!G43</f>
        <v>13310.115000000003</v>
      </c>
      <c r="H23" s="73">
        <f>'10.Grain Production details'!H43</f>
        <v>14197.456000000004</v>
      </c>
    </row>
    <row r="24" spans="1:8" hidden="1">
      <c r="A24" s="73" t="str">
        <f>'10.Grain Production details'!A44</f>
        <v>Paddy/Rice</v>
      </c>
      <c r="B24" s="73">
        <f>'10.Grain Production details'!B44</f>
        <v>0</v>
      </c>
      <c r="C24" s="73">
        <f>'10.Grain Production details'!C44</f>
        <v>0</v>
      </c>
      <c r="D24" s="73">
        <f>'10.Grain Production details'!D44</f>
        <v>0</v>
      </c>
      <c r="E24" s="73">
        <f>'10.Grain Production details'!E44</f>
        <v>0</v>
      </c>
      <c r="F24" s="73">
        <f>'10.Grain Production details'!F44</f>
        <v>0</v>
      </c>
      <c r="G24" s="73">
        <f>'10.Grain Production details'!G44</f>
        <v>0</v>
      </c>
      <c r="H24" s="73">
        <f>'10.Grain Production details'!H44</f>
        <v>0</v>
      </c>
    </row>
    <row r="25" spans="1:8">
      <c r="A25" s="73" t="str">
        <f>'10.Grain Production details'!A45</f>
        <v>Green Gram/ Moong</v>
      </c>
      <c r="B25" s="73">
        <f>'10.Grain Production details'!B45</f>
        <v>4436.7049999999999</v>
      </c>
      <c r="C25" s="73">
        <f>'10.Grain Production details'!C45</f>
        <v>4880.3755000000001</v>
      </c>
      <c r="D25" s="73">
        <f>'10.Grain Production details'!D45</f>
        <v>5324.0460000000003</v>
      </c>
      <c r="E25" s="73">
        <f>'10.Grain Production details'!E45</f>
        <v>5767.7165000000014</v>
      </c>
      <c r="F25" s="73">
        <f>'10.Grain Production details'!F45</f>
        <v>6211.3870000000015</v>
      </c>
      <c r="G25" s="73">
        <f>'10.Grain Production details'!G45</f>
        <v>6655.0575000000017</v>
      </c>
      <c r="H25" s="73">
        <f>'10.Grain Production details'!H45</f>
        <v>7098.7280000000019</v>
      </c>
    </row>
    <row r="26" spans="1:8" hidden="1">
      <c r="A26" s="73" t="str">
        <f>'10.Grain Production details'!A46</f>
        <v>Maize</v>
      </c>
      <c r="B26" s="73">
        <f>'10.Grain Production details'!B46</f>
        <v>0</v>
      </c>
      <c r="C26" s="73">
        <f>'10.Grain Production details'!C46</f>
        <v>0</v>
      </c>
      <c r="D26" s="73">
        <f>'10.Grain Production details'!D46</f>
        <v>0</v>
      </c>
      <c r="E26" s="73">
        <f>'10.Grain Production details'!E46</f>
        <v>0</v>
      </c>
      <c r="F26" s="73">
        <f>'10.Grain Production details'!F46</f>
        <v>0</v>
      </c>
      <c r="G26" s="73">
        <f>'10.Grain Production details'!G46</f>
        <v>0</v>
      </c>
      <c r="H26" s="73">
        <f>'10.Grain Production details'!H46</f>
        <v>0</v>
      </c>
    </row>
    <row r="27" spans="1:8">
      <c r="A27" s="73" t="str">
        <f>'10.Grain Production details'!A47</f>
        <v>Black Gram/Udid</v>
      </c>
      <c r="B27" s="73">
        <f>'10.Grain Production details'!B47</f>
        <v>4436.7049999999999</v>
      </c>
      <c r="C27" s="73">
        <f>'10.Grain Production details'!C47</f>
        <v>4880.3755000000001</v>
      </c>
      <c r="D27" s="73">
        <f>'10.Grain Production details'!D47</f>
        <v>5324.0460000000003</v>
      </c>
      <c r="E27" s="73">
        <f>'10.Grain Production details'!E47</f>
        <v>5767.7165000000014</v>
      </c>
      <c r="F27" s="73">
        <f>'10.Grain Production details'!F47</f>
        <v>6211.3870000000015</v>
      </c>
      <c r="G27" s="73">
        <f>'10.Grain Production details'!G47</f>
        <v>6655.0575000000017</v>
      </c>
      <c r="H27" s="73">
        <f>'10.Grain Production details'!H47</f>
        <v>7098.7280000000019</v>
      </c>
    </row>
    <row r="28" spans="1:8" hidden="1">
      <c r="A28" s="73" t="str">
        <f>'10.Grain Production details'!A51</f>
        <v>Wheat</v>
      </c>
      <c r="B28" s="73">
        <f>'10.Grain Production details'!B51</f>
        <v>0</v>
      </c>
      <c r="C28" s="73">
        <f>'10.Grain Production details'!C51</f>
        <v>0</v>
      </c>
      <c r="D28" s="73">
        <f>'10.Grain Production details'!D51</f>
        <v>0</v>
      </c>
      <c r="E28" s="73">
        <f>'10.Grain Production details'!E51</f>
        <v>0</v>
      </c>
      <c r="F28" s="73">
        <f>'10.Grain Production details'!F51</f>
        <v>0</v>
      </c>
      <c r="G28" s="73">
        <f>'10.Grain Production details'!G51</f>
        <v>0</v>
      </c>
      <c r="H28" s="73">
        <f>'10.Grain Production details'!H51</f>
        <v>0</v>
      </c>
    </row>
    <row r="29" spans="1:8">
      <c r="A29" s="73" t="str">
        <f>'10.Grain Production details'!A52</f>
        <v>Bengal Gram/Channa</v>
      </c>
      <c r="B29" s="73">
        <f>'10.Grain Production details'!B52</f>
        <v>9126.9359999999997</v>
      </c>
      <c r="C29" s="73">
        <f>'10.Grain Production details'!C52</f>
        <v>10039.6296</v>
      </c>
      <c r="D29" s="73">
        <f>'10.Grain Production details'!D52</f>
        <v>10952.323200000001</v>
      </c>
      <c r="E29" s="73">
        <f>'10.Grain Production details'!E52</f>
        <v>11865.016800000001</v>
      </c>
      <c r="F29" s="73">
        <f>'10.Grain Production details'!F52</f>
        <v>12777.710400000004</v>
      </c>
      <c r="G29" s="73">
        <f>'10.Grain Production details'!G52</f>
        <v>13690.404000000004</v>
      </c>
      <c r="H29" s="73">
        <f>'10.Grain Production details'!H52</f>
        <v>14603.097600000005</v>
      </c>
    </row>
    <row r="30" spans="1:8" hidden="1">
      <c r="A30" s="73" t="str">
        <f>'10.Grain Production details'!A84</f>
        <v>Groundnut</v>
      </c>
      <c r="B30" s="73">
        <f>'10.Grain Production details'!B84</f>
        <v>0</v>
      </c>
      <c r="C30" s="73">
        <f>'10.Grain Production details'!C84</f>
        <v>0</v>
      </c>
      <c r="D30" s="73">
        <f>'10.Grain Production details'!D84</f>
        <v>0</v>
      </c>
      <c r="E30" s="73">
        <f>'10.Grain Production details'!E84</f>
        <v>0</v>
      </c>
      <c r="F30" s="73">
        <f>'10.Grain Production details'!F84</f>
        <v>0</v>
      </c>
      <c r="G30" s="73">
        <f>'10.Grain Production details'!G84</f>
        <v>0</v>
      </c>
      <c r="H30" s="73">
        <f>'10.Grain Production details'!H84</f>
        <v>0</v>
      </c>
    </row>
    <row r="31" spans="1:8" hidden="1">
      <c r="A31" s="73">
        <f>'10.Grain Production details'!A85</f>
        <v>0</v>
      </c>
      <c r="B31" s="73">
        <f>'10.Grain Production details'!B85</f>
        <v>0</v>
      </c>
      <c r="C31" s="73">
        <f>'10.Grain Production details'!C85</f>
        <v>0</v>
      </c>
      <c r="D31" s="73">
        <f>'10.Grain Production details'!D85</f>
        <v>0</v>
      </c>
      <c r="E31" s="73">
        <f>'10.Grain Production details'!E85</f>
        <v>0</v>
      </c>
      <c r="F31" s="73">
        <f>'10.Grain Production details'!F85</f>
        <v>0</v>
      </c>
      <c r="G31" s="73">
        <f>'10.Grain Production details'!G85</f>
        <v>0</v>
      </c>
      <c r="H31" s="73">
        <f>'10.Grain Production details'!H85</f>
        <v>0</v>
      </c>
    </row>
    <row r="32" spans="1:8">
      <c r="A32" s="73" t="s">
        <v>448</v>
      </c>
      <c r="B32" s="74">
        <f>SUM(B13:B31)</f>
        <v>44323.071000000004</v>
      </c>
      <c r="C32" s="74">
        <f t="shared" ref="C32:H32" si="1">SUM(C13:C31)</f>
        <v>49014.078100000006</v>
      </c>
      <c r="D32" s="74">
        <f t="shared" si="1"/>
        <v>53705.085200000001</v>
      </c>
      <c r="E32" s="74">
        <f t="shared" si="1"/>
        <v>58396.092300000018</v>
      </c>
      <c r="F32" s="74">
        <f t="shared" si="1"/>
        <v>63087.099400000014</v>
      </c>
      <c r="G32" s="74">
        <f t="shared" si="1"/>
        <v>67778.106500000024</v>
      </c>
      <c r="H32" s="74">
        <f t="shared" si="1"/>
        <v>72469.113600000026</v>
      </c>
    </row>
    <row r="33" spans="1:8">
      <c r="A33" s="262" t="s">
        <v>164</v>
      </c>
      <c r="B33" s="233">
        <v>0.9</v>
      </c>
      <c r="C33" s="233">
        <f>B33</f>
        <v>0.9</v>
      </c>
      <c r="D33" s="233">
        <f t="shared" ref="D33:H33" si="2">C33</f>
        <v>0.9</v>
      </c>
      <c r="E33" s="233">
        <f t="shared" si="2"/>
        <v>0.9</v>
      </c>
      <c r="F33" s="233">
        <f t="shared" si="2"/>
        <v>0.9</v>
      </c>
      <c r="G33" s="233">
        <f t="shared" si="2"/>
        <v>0.9</v>
      </c>
      <c r="H33" s="233">
        <f t="shared" si="2"/>
        <v>0.9</v>
      </c>
    </row>
    <row r="34" spans="1:8">
      <c r="A34" s="73" t="s">
        <v>458</v>
      </c>
      <c r="B34" s="160">
        <f>1-B33</f>
        <v>9.9999999999999978E-2</v>
      </c>
      <c r="C34" s="160">
        <f t="shared" ref="C34:H34" si="3">1-C33</f>
        <v>9.9999999999999978E-2</v>
      </c>
      <c r="D34" s="160">
        <f t="shared" si="3"/>
        <v>9.9999999999999978E-2</v>
      </c>
      <c r="E34" s="160">
        <f t="shared" si="3"/>
        <v>9.9999999999999978E-2</v>
      </c>
      <c r="F34" s="160">
        <f t="shared" si="3"/>
        <v>9.9999999999999978E-2</v>
      </c>
      <c r="G34" s="160">
        <f t="shared" si="3"/>
        <v>9.9999999999999978E-2</v>
      </c>
      <c r="H34" s="160">
        <f t="shared" si="3"/>
        <v>9.9999999999999978E-2</v>
      </c>
    </row>
    <row r="35" spans="1:8">
      <c r="A35" s="75" t="s">
        <v>164</v>
      </c>
      <c r="B35" s="218">
        <f>B32*B33</f>
        <v>39890.763900000005</v>
      </c>
      <c r="C35" s="218">
        <f t="shared" ref="C35:H35" si="4">C32*C33</f>
        <v>44112.670290000009</v>
      </c>
      <c r="D35" s="218">
        <f t="shared" si="4"/>
        <v>48334.576680000006</v>
      </c>
      <c r="E35" s="218">
        <f t="shared" si="4"/>
        <v>52556.483070000017</v>
      </c>
      <c r="F35" s="218">
        <f t="shared" si="4"/>
        <v>56778.389460000013</v>
      </c>
      <c r="G35" s="218">
        <f t="shared" si="4"/>
        <v>61000.295850000024</v>
      </c>
      <c r="H35" s="218">
        <f t="shared" si="4"/>
        <v>65222.202240000028</v>
      </c>
    </row>
    <row r="36" spans="1:8">
      <c r="A36" s="75" t="s">
        <v>165</v>
      </c>
      <c r="B36" s="91"/>
      <c r="C36" s="91"/>
      <c r="D36" s="91"/>
      <c r="E36" s="91"/>
      <c r="F36" s="91"/>
      <c r="G36" s="91"/>
      <c r="H36" s="91"/>
    </row>
    <row r="37" spans="1:8" hidden="1">
      <c r="A37" s="73" t="str">
        <f t="shared" ref="A37:A55" si="5">A13</f>
        <v>Soybean</v>
      </c>
      <c r="B37" s="74">
        <f t="shared" ref="B37:B55" si="6">B13*$B$34</f>
        <v>0</v>
      </c>
      <c r="C37" s="74">
        <f t="shared" ref="C37:H37" si="7">C13*$B$34</f>
        <v>0</v>
      </c>
      <c r="D37" s="74">
        <f t="shared" si="7"/>
        <v>0</v>
      </c>
      <c r="E37" s="74">
        <f t="shared" si="7"/>
        <v>0</v>
      </c>
      <c r="F37" s="74">
        <f t="shared" si="7"/>
        <v>0</v>
      </c>
      <c r="G37" s="74">
        <f t="shared" si="7"/>
        <v>0</v>
      </c>
      <c r="H37" s="74">
        <f t="shared" si="7"/>
        <v>0</v>
      </c>
    </row>
    <row r="38" spans="1:8" hidden="1">
      <c r="A38" s="73" t="str">
        <f t="shared" si="5"/>
        <v>Red Gram/Tur</v>
      </c>
      <c r="B38" s="74">
        <f t="shared" si="6"/>
        <v>0</v>
      </c>
      <c r="C38" s="74">
        <f t="shared" ref="C38:C55" si="8">C14*$C$34</f>
        <v>0</v>
      </c>
      <c r="D38" s="74">
        <f t="shared" ref="D38:D55" si="9">D14*$D$34</f>
        <v>0</v>
      </c>
      <c r="E38" s="74">
        <f t="shared" ref="E38:E55" si="10">E14*$E$34</f>
        <v>0</v>
      </c>
      <c r="F38" s="74">
        <f t="shared" ref="F38:F55" si="11">F14*$F$34</f>
        <v>0</v>
      </c>
      <c r="G38" s="74">
        <f t="shared" ref="G38:G55" si="12">G14*$G$34</f>
        <v>0</v>
      </c>
      <c r="H38" s="74">
        <f t="shared" ref="H38:H55" si="13">H14*$H$34</f>
        <v>0</v>
      </c>
    </row>
    <row r="39" spans="1:8" hidden="1">
      <c r="A39" s="73" t="str">
        <f t="shared" si="5"/>
        <v>Paddy/Rice</v>
      </c>
      <c r="B39" s="74">
        <f t="shared" si="6"/>
        <v>0</v>
      </c>
      <c r="C39" s="74">
        <f t="shared" si="8"/>
        <v>0</v>
      </c>
      <c r="D39" s="74">
        <f t="shared" si="9"/>
        <v>0</v>
      </c>
      <c r="E39" s="74">
        <f t="shared" si="10"/>
        <v>0</v>
      </c>
      <c r="F39" s="74">
        <f t="shared" si="11"/>
        <v>0</v>
      </c>
      <c r="G39" s="74">
        <f t="shared" si="12"/>
        <v>0</v>
      </c>
      <c r="H39" s="74">
        <f t="shared" si="13"/>
        <v>0</v>
      </c>
    </row>
    <row r="40" spans="1:8" hidden="1">
      <c r="A40" s="73" t="str">
        <f t="shared" si="5"/>
        <v>Green Gram/ Moong</v>
      </c>
      <c r="B40" s="74">
        <f t="shared" si="6"/>
        <v>0</v>
      </c>
      <c r="C40" s="74">
        <f t="shared" si="8"/>
        <v>0</v>
      </c>
      <c r="D40" s="74">
        <f t="shared" si="9"/>
        <v>0</v>
      </c>
      <c r="E40" s="74">
        <f t="shared" si="10"/>
        <v>0</v>
      </c>
      <c r="F40" s="74">
        <f t="shared" si="11"/>
        <v>0</v>
      </c>
      <c r="G40" s="74">
        <f t="shared" si="12"/>
        <v>0</v>
      </c>
      <c r="H40" s="74">
        <f t="shared" si="13"/>
        <v>0</v>
      </c>
    </row>
    <row r="41" spans="1:8" hidden="1">
      <c r="A41" s="73" t="str">
        <f t="shared" si="5"/>
        <v>Maize</v>
      </c>
      <c r="B41" s="74">
        <f t="shared" si="6"/>
        <v>0</v>
      </c>
      <c r="C41" s="74">
        <f t="shared" si="8"/>
        <v>0</v>
      </c>
      <c r="D41" s="74">
        <f t="shared" si="9"/>
        <v>0</v>
      </c>
      <c r="E41" s="74">
        <f t="shared" si="10"/>
        <v>0</v>
      </c>
      <c r="F41" s="74">
        <f t="shared" si="11"/>
        <v>0</v>
      </c>
      <c r="G41" s="74">
        <f t="shared" si="12"/>
        <v>0</v>
      </c>
      <c r="H41" s="74">
        <f t="shared" si="13"/>
        <v>0</v>
      </c>
    </row>
    <row r="42" spans="1:8" hidden="1">
      <c r="A42" s="73" t="str">
        <f t="shared" si="5"/>
        <v>Black Gram/Udid</v>
      </c>
      <c r="B42" s="74">
        <f t="shared" si="6"/>
        <v>0</v>
      </c>
      <c r="C42" s="74">
        <f t="shared" si="8"/>
        <v>0</v>
      </c>
      <c r="D42" s="74">
        <f t="shared" si="9"/>
        <v>0</v>
      </c>
      <c r="E42" s="74">
        <f t="shared" si="10"/>
        <v>0</v>
      </c>
      <c r="F42" s="74">
        <f t="shared" si="11"/>
        <v>0</v>
      </c>
      <c r="G42" s="74">
        <f t="shared" si="12"/>
        <v>0</v>
      </c>
      <c r="H42" s="74">
        <f t="shared" si="13"/>
        <v>0</v>
      </c>
    </row>
    <row r="43" spans="1:8" hidden="1">
      <c r="A43" s="73" t="str">
        <f t="shared" si="5"/>
        <v>Bajra</v>
      </c>
      <c r="B43" s="74">
        <f t="shared" si="6"/>
        <v>0</v>
      </c>
      <c r="C43" s="74">
        <f t="shared" si="8"/>
        <v>0</v>
      </c>
      <c r="D43" s="74">
        <f t="shared" si="9"/>
        <v>0</v>
      </c>
      <c r="E43" s="74">
        <f t="shared" si="10"/>
        <v>0</v>
      </c>
      <c r="F43" s="74">
        <f t="shared" si="11"/>
        <v>0</v>
      </c>
      <c r="G43" s="74">
        <f t="shared" si="12"/>
        <v>0</v>
      </c>
      <c r="H43" s="74">
        <f t="shared" si="13"/>
        <v>0</v>
      </c>
    </row>
    <row r="44" spans="1:8" hidden="1">
      <c r="A44" s="73" t="str">
        <f t="shared" si="5"/>
        <v>Jawar</v>
      </c>
      <c r="B44" s="74">
        <f t="shared" si="6"/>
        <v>388.0499999999999</v>
      </c>
      <c r="C44" s="74">
        <f t="shared" si="8"/>
        <v>452.72499999999991</v>
      </c>
      <c r="D44" s="74">
        <f t="shared" si="9"/>
        <v>517.39999999999986</v>
      </c>
      <c r="E44" s="74">
        <f t="shared" si="10"/>
        <v>582.07499999999982</v>
      </c>
      <c r="F44" s="74">
        <f t="shared" si="11"/>
        <v>646.74999999999989</v>
      </c>
      <c r="G44" s="74">
        <f t="shared" si="12"/>
        <v>711.42499999999984</v>
      </c>
      <c r="H44" s="74">
        <f t="shared" si="13"/>
        <v>776.09999999999991</v>
      </c>
    </row>
    <row r="45" spans="1:8" hidden="1">
      <c r="A45" s="73" t="str">
        <f t="shared" si="5"/>
        <v>Sunflower</v>
      </c>
      <c r="B45" s="74">
        <f t="shared" si="6"/>
        <v>0</v>
      </c>
      <c r="C45" s="74">
        <f t="shared" si="8"/>
        <v>0</v>
      </c>
      <c r="D45" s="74">
        <f t="shared" si="9"/>
        <v>0</v>
      </c>
      <c r="E45" s="74">
        <f t="shared" si="10"/>
        <v>0</v>
      </c>
      <c r="F45" s="74">
        <f t="shared" si="11"/>
        <v>0</v>
      </c>
      <c r="G45" s="74">
        <f t="shared" si="12"/>
        <v>0</v>
      </c>
      <c r="H45" s="74">
        <f t="shared" si="13"/>
        <v>0</v>
      </c>
    </row>
    <row r="46" spans="1:8">
      <c r="A46" s="73" t="str">
        <f t="shared" si="5"/>
        <v>Soybean</v>
      </c>
      <c r="B46" s="74">
        <f t="shared" si="6"/>
        <v>1356.8814999999997</v>
      </c>
      <c r="C46" s="74">
        <f t="shared" si="8"/>
        <v>1492.5696499999999</v>
      </c>
      <c r="D46" s="74">
        <f t="shared" si="9"/>
        <v>1628.2577999999999</v>
      </c>
      <c r="E46" s="74">
        <f t="shared" si="10"/>
        <v>1763.94595</v>
      </c>
      <c r="F46" s="74">
        <f t="shared" si="11"/>
        <v>1899.6341</v>
      </c>
      <c r="G46" s="74">
        <f t="shared" si="12"/>
        <v>2035.3222499999999</v>
      </c>
      <c r="H46" s="74">
        <f t="shared" si="13"/>
        <v>2171.0104000000001</v>
      </c>
    </row>
    <row r="47" spans="1:8">
      <c r="A47" s="73" t="str">
        <f t="shared" si="5"/>
        <v>Red Gram/Tur</v>
      </c>
      <c r="B47" s="74">
        <f t="shared" si="6"/>
        <v>887.34099999999978</v>
      </c>
      <c r="C47" s="74">
        <f t="shared" si="8"/>
        <v>976.07509999999979</v>
      </c>
      <c r="D47" s="74">
        <f t="shared" si="9"/>
        <v>1064.8091999999999</v>
      </c>
      <c r="E47" s="74">
        <f t="shared" si="10"/>
        <v>1153.5433</v>
      </c>
      <c r="F47" s="74">
        <f t="shared" si="11"/>
        <v>1242.2773999999999</v>
      </c>
      <c r="G47" s="74">
        <f t="shared" si="12"/>
        <v>1331.0115000000001</v>
      </c>
      <c r="H47" s="74">
        <f t="shared" si="13"/>
        <v>1419.7456</v>
      </c>
    </row>
    <row r="48" spans="1:8" hidden="1">
      <c r="A48" s="73" t="str">
        <f t="shared" si="5"/>
        <v>Paddy/Rice</v>
      </c>
      <c r="B48" s="74">
        <f t="shared" si="6"/>
        <v>0</v>
      </c>
      <c r="C48" s="74">
        <f t="shared" si="8"/>
        <v>0</v>
      </c>
      <c r="D48" s="74">
        <f t="shared" si="9"/>
        <v>0</v>
      </c>
      <c r="E48" s="74">
        <f t="shared" si="10"/>
        <v>0</v>
      </c>
      <c r="F48" s="74">
        <f t="shared" si="11"/>
        <v>0</v>
      </c>
      <c r="G48" s="74">
        <f t="shared" si="12"/>
        <v>0</v>
      </c>
      <c r="H48" s="74">
        <f t="shared" si="13"/>
        <v>0</v>
      </c>
    </row>
    <row r="49" spans="1:8">
      <c r="A49" s="73" t="str">
        <f t="shared" si="5"/>
        <v>Green Gram/ Moong</v>
      </c>
      <c r="B49" s="74">
        <f t="shared" si="6"/>
        <v>443.67049999999989</v>
      </c>
      <c r="C49" s="74">
        <f t="shared" si="8"/>
        <v>488.0375499999999</v>
      </c>
      <c r="D49" s="74">
        <f t="shared" si="9"/>
        <v>532.40459999999996</v>
      </c>
      <c r="E49" s="74">
        <f t="shared" si="10"/>
        <v>576.77165000000002</v>
      </c>
      <c r="F49" s="74">
        <f t="shared" si="11"/>
        <v>621.13869999999997</v>
      </c>
      <c r="G49" s="74">
        <f t="shared" si="12"/>
        <v>665.50575000000003</v>
      </c>
      <c r="H49" s="74">
        <f t="shared" si="13"/>
        <v>709.87279999999998</v>
      </c>
    </row>
    <row r="50" spans="1:8" hidden="1">
      <c r="A50" s="73" t="str">
        <f t="shared" si="5"/>
        <v>Maize</v>
      </c>
      <c r="B50" s="74">
        <f t="shared" si="6"/>
        <v>0</v>
      </c>
      <c r="C50" s="74">
        <f t="shared" si="8"/>
        <v>0</v>
      </c>
      <c r="D50" s="74">
        <f t="shared" si="9"/>
        <v>0</v>
      </c>
      <c r="E50" s="74">
        <f t="shared" si="10"/>
        <v>0</v>
      </c>
      <c r="F50" s="74">
        <f t="shared" si="11"/>
        <v>0</v>
      </c>
      <c r="G50" s="74">
        <f t="shared" si="12"/>
        <v>0</v>
      </c>
      <c r="H50" s="74">
        <f t="shared" si="13"/>
        <v>0</v>
      </c>
    </row>
    <row r="51" spans="1:8">
      <c r="A51" s="73" t="str">
        <f t="shared" si="5"/>
        <v>Black Gram/Udid</v>
      </c>
      <c r="B51" s="74">
        <f t="shared" si="6"/>
        <v>443.67049999999989</v>
      </c>
      <c r="C51" s="74">
        <f t="shared" si="8"/>
        <v>488.0375499999999</v>
      </c>
      <c r="D51" s="74">
        <f t="shared" si="9"/>
        <v>532.40459999999996</v>
      </c>
      <c r="E51" s="74">
        <f t="shared" si="10"/>
        <v>576.77165000000002</v>
      </c>
      <c r="F51" s="74">
        <f t="shared" si="11"/>
        <v>621.13869999999997</v>
      </c>
      <c r="G51" s="74">
        <f t="shared" si="12"/>
        <v>665.50575000000003</v>
      </c>
      <c r="H51" s="74">
        <f t="shared" si="13"/>
        <v>709.87279999999998</v>
      </c>
    </row>
    <row r="52" spans="1:8" hidden="1">
      <c r="A52" s="73" t="str">
        <f t="shared" si="5"/>
        <v>Wheat</v>
      </c>
      <c r="B52" s="74">
        <f t="shared" si="6"/>
        <v>0</v>
      </c>
      <c r="C52" s="74">
        <f t="shared" si="8"/>
        <v>0</v>
      </c>
      <c r="D52" s="74">
        <f t="shared" si="9"/>
        <v>0</v>
      </c>
      <c r="E52" s="74">
        <f t="shared" si="10"/>
        <v>0</v>
      </c>
      <c r="F52" s="74">
        <f t="shared" si="11"/>
        <v>0</v>
      </c>
      <c r="G52" s="74">
        <f t="shared" si="12"/>
        <v>0</v>
      </c>
      <c r="H52" s="74">
        <f t="shared" si="13"/>
        <v>0</v>
      </c>
    </row>
    <row r="53" spans="1:8">
      <c r="A53" s="73" t="str">
        <f t="shared" si="5"/>
        <v>Bengal Gram/Channa</v>
      </c>
      <c r="B53" s="74">
        <f t="shared" si="6"/>
        <v>912.69359999999972</v>
      </c>
      <c r="C53" s="74">
        <f t="shared" si="8"/>
        <v>1003.9629599999998</v>
      </c>
      <c r="D53" s="74">
        <f t="shared" si="9"/>
        <v>1095.2323199999998</v>
      </c>
      <c r="E53" s="74">
        <f t="shared" si="10"/>
        <v>1186.5016799999999</v>
      </c>
      <c r="F53" s="74">
        <f t="shared" si="11"/>
        <v>1277.7710400000001</v>
      </c>
      <c r="G53" s="74">
        <f t="shared" si="12"/>
        <v>1369.0404000000001</v>
      </c>
      <c r="H53" s="74">
        <f t="shared" si="13"/>
        <v>1460.3097600000001</v>
      </c>
    </row>
    <row r="54" spans="1:8" hidden="1">
      <c r="A54" s="73" t="str">
        <f t="shared" si="5"/>
        <v>Groundnut</v>
      </c>
      <c r="B54" s="74">
        <f t="shared" si="6"/>
        <v>0</v>
      </c>
      <c r="C54" s="74">
        <f t="shared" si="8"/>
        <v>0</v>
      </c>
      <c r="D54" s="74">
        <f t="shared" si="9"/>
        <v>0</v>
      </c>
      <c r="E54" s="74">
        <f t="shared" si="10"/>
        <v>0</v>
      </c>
      <c r="F54" s="74">
        <f t="shared" si="11"/>
        <v>0</v>
      </c>
      <c r="G54" s="74">
        <f t="shared" si="12"/>
        <v>0</v>
      </c>
      <c r="H54" s="74">
        <f t="shared" si="13"/>
        <v>0</v>
      </c>
    </row>
    <row r="55" spans="1:8" hidden="1">
      <c r="A55" s="73">
        <f t="shared" si="5"/>
        <v>0</v>
      </c>
      <c r="B55" s="74">
        <f t="shared" si="6"/>
        <v>0</v>
      </c>
      <c r="C55" s="74">
        <f t="shared" si="8"/>
        <v>0</v>
      </c>
      <c r="D55" s="74">
        <f t="shared" si="9"/>
        <v>0</v>
      </c>
      <c r="E55" s="74">
        <f t="shared" si="10"/>
        <v>0</v>
      </c>
      <c r="F55" s="74">
        <f t="shared" si="11"/>
        <v>0</v>
      </c>
      <c r="G55" s="74">
        <f t="shared" si="12"/>
        <v>0</v>
      </c>
      <c r="H55" s="74">
        <f t="shared" si="13"/>
        <v>0</v>
      </c>
    </row>
    <row r="56" spans="1:8">
      <c r="A56" s="73"/>
      <c r="B56" s="73"/>
      <c r="C56" s="73"/>
      <c r="D56" s="73"/>
      <c r="E56" s="73"/>
      <c r="F56" s="73"/>
      <c r="G56" s="73"/>
      <c r="H56" s="73"/>
    </row>
    <row r="57" spans="1:8">
      <c r="A57" s="75" t="s">
        <v>281</v>
      </c>
      <c r="B57" s="73"/>
      <c r="C57" s="73"/>
      <c r="D57" s="73"/>
      <c r="E57" s="73"/>
      <c r="F57" s="73"/>
      <c r="G57" s="73"/>
      <c r="H57" s="73"/>
    </row>
    <row r="58" spans="1:8">
      <c r="A58" s="73" t="str">
        <f>A46</f>
        <v>Soybean</v>
      </c>
      <c r="B58" s="161">
        <f t="shared" ref="B58:B65" si="14">(B46-(B46*3%))</f>
        <v>1316.1750549999997</v>
      </c>
      <c r="C58" s="161">
        <f t="shared" ref="C58:H58" si="15">(C46-(C46*3%))</f>
        <v>1447.7925604999998</v>
      </c>
      <c r="D58" s="161">
        <f t="shared" si="15"/>
        <v>1579.4100659999999</v>
      </c>
      <c r="E58" s="161">
        <f t="shared" si="15"/>
        <v>1711.0275715</v>
      </c>
      <c r="F58" s="161">
        <f t="shared" si="15"/>
        <v>1842.6450769999999</v>
      </c>
      <c r="G58" s="161">
        <f t="shared" si="15"/>
        <v>1974.2625825</v>
      </c>
      <c r="H58" s="161">
        <f t="shared" si="15"/>
        <v>2105.8800879999999</v>
      </c>
    </row>
    <row r="59" spans="1:8">
      <c r="A59" s="73" t="str">
        <f t="shared" ref="A59:A66" si="16">A47</f>
        <v>Red Gram/Tur</v>
      </c>
      <c r="B59" s="161">
        <f t="shared" si="14"/>
        <v>860.72076999999979</v>
      </c>
      <c r="C59" s="161">
        <f t="shared" ref="C59:H59" si="17">(C47-(C47*3%))</f>
        <v>946.79284699999982</v>
      </c>
      <c r="D59" s="161">
        <f t="shared" si="17"/>
        <v>1032.864924</v>
      </c>
      <c r="E59" s="161">
        <f t="shared" si="17"/>
        <v>1118.937001</v>
      </c>
      <c r="F59" s="161">
        <f t="shared" si="17"/>
        <v>1205.009078</v>
      </c>
      <c r="G59" s="161">
        <f t="shared" si="17"/>
        <v>1291.0811550000001</v>
      </c>
      <c r="H59" s="161">
        <f t="shared" si="17"/>
        <v>1377.1532319999999</v>
      </c>
    </row>
    <row r="60" spans="1:8" hidden="1">
      <c r="A60" s="73" t="str">
        <f t="shared" si="16"/>
        <v>Paddy/Rice</v>
      </c>
      <c r="B60" s="161">
        <f t="shared" si="14"/>
        <v>0</v>
      </c>
      <c r="C60" s="161">
        <f t="shared" ref="C60:H60" si="18">(C48-(C48*3%))</f>
        <v>0</v>
      </c>
      <c r="D60" s="161">
        <f t="shared" si="18"/>
        <v>0</v>
      </c>
      <c r="E60" s="161">
        <f t="shared" si="18"/>
        <v>0</v>
      </c>
      <c r="F60" s="161">
        <f t="shared" si="18"/>
        <v>0</v>
      </c>
      <c r="G60" s="161">
        <f t="shared" si="18"/>
        <v>0</v>
      </c>
      <c r="H60" s="161">
        <f t="shared" si="18"/>
        <v>0</v>
      </c>
    </row>
    <row r="61" spans="1:8">
      <c r="A61" s="73" t="str">
        <f t="shared" si="16"/>
        <v>Green Gram/ Moong</v>
      </c>
      <c r="B61" s="161">
        <f t="shared" si="14"/>
        <v>430.36038499999989</v>
      </c>
      <c r="C61" s="161">
        <f t="shared" ref="C61:H61" si="19">(C49-(C49*3%))</f>
        <v>473.39642349999991</v>
      </c>
      <c r="D61" s="161">
        <f t="shared" si="19"/>
        <v>516.43246199999999</v>
      </c>
      <c r="E61" s="161">
        <f t="shared" si="19"/>
        <v>559.4685005</v>
      </c>
      <c r="F61" s="161">
        <f t="shared" si="19"/>
        <v>602.50453900000002</v>
      </c>
      <c r="G61" s="161">
        <f t="shared" si="19"/>
        <v>645.54057750000004</v>
      </c>
      <c r="H61" s="161">
        <f t="shared" si="19"/>
        <v>688.57661599999994</v>
      </c>
    </row>
    <row r="62" spans="1:8" hidden="1">
      <c r="A62" s="73" t="str">
        <f t="shared" si="16"/>
        <v>Maize</v>
      </c>
      <c r="B62" s="161">
        <f t="shared" si="14"/>
        <v>0</v>
      </c>
      <c r="C62" s="161">
        <f t="shared" ref="C62:H62" si="20">(C50-(C50*3%))</f>
        <v>0</v>
      </c>
      <c r="D62" s="161">
        <f t="shared" si="20"/>
        <v>0</v>
      </c>
      <c r="E62" s="161">
        <f t="shared" si="20"/>
        <v>0</v>
      </c>
      <c r="F62" s="161">
        <f t="shared" si="20"/>
        <v>0</v>
      </c>
      <c r="G62" s="161">
        <f t="shared" si="20"/>
        <v>0</v>
      </c>
      <c r="H62" s="161">
        <f t="shared" si="20"/>
        <v>0</v>
      </c>
    </row>
    <row r="63" spans="1:8">
      <c r="A63" s="73" t="str">
        <f t="shared" si="16"/>
        <v>Black Gram/Udid</v>
      </c>
      <c r="B63" s="161">
        <f t="shared" si="14"/>
        <v>430.36038499999989</v>
      </c>
      <c r="C63" s="161">
        <f t="shared" ref="C63:H65" si="21">(C51-(C51*3%))</f>
        <v>473.39642349999991</v>
      </c>
      <c r="D63" s="161">
        <f t="shared" si="21"/>
        <v>516.43246199999999</v>
      </c>
      <c r="E63" s="161">
        <f t="shared" si="21"/>
        <v>559.4685005</v>
      </c>
      <c r="F63" s="161">
        <f t="shared" si="21"/>
        <v>602.50453900000002</v>
      </c>
      <c r="G63" s="161">
        <f t="shared" si="21"/>
        <v>645.54057750000004</v>
      </c>
      <c r="H63" s="161">
        <f t="shared" si="21"/>
        <v>688.57661599999994</v>
      </c>
    </row>
    <row r="64" spans="1:8" hidden="1">
      <c r="A64" s="73" t="str">
        <f t="shared" si="16"/>
        <v>Wheat</v>
      </c>
      <c r="B64" s="161">
        <f t="shared" si="14"/>
        <v>0</v>
      </c>
      <c r="C64" s="161">
        <f t="shared" ref="C64:H64" si="22">(C52-(C52*3%))</f>
        <v>0</v>
      </c>
      <c r="D64" s="161">
        <f t="shared" si="22"/>
        <v>0</v>
      </c>
      <c r="E64" s="161">
        <f t="shared" si="22"/>
        <v>0</v>
      </c>
      <c r="F64" s="161">
        <f t="shared" si="22"/>
        <v>0</v>
      </c>
      <c r="G64" s="161">
        <f t="shared" si="22"/>
        <v>0</v>
      </c>
      <c r="H64" s="161">
        <f t="shared" si="22"/>
        <v>0</v>
      </c>
    </row>
    <row r="65" spans="1:8">
      <c r="A65" s="73" t="str">
        <f t="shared" si="16"/>
        <v>Bengal Gram/Channa</v>
      </c>
      <c r="B65" s="161">
        <f t="shared" si="14"/>
        <v>885.31279199999972</v>
      </c>
      <c r="C65" s="161">
        <f t="shared" si="21"/>
        <v>973.8440711999998</v>
      </c>
      <c r="D65" s="161">
        <f t="shared" si="21"/>
        <v>1062.3753503999999</v>
      </c>
      <c r="E65" s="161">
        <f t="shared" si="21"/>
        <v>1150.9066295999999</v>
      </c>
      <c r="F65" s="161">
        <f t="shared" si="21"/>
        <v>1239.4379088000001</v>
      </c>
      <c r="G65" s="161">
        <f t="shared" si="21"/>
        <v>1327.969188</v>
      </c>
      <c r="H65" s="161">
        <f t="shared" si="21"/>
        <v>1416.5004672</v>
      </c>
    </row>
    <row r="66" spans="1:8" hidden="1">
      <c r="A66" s="73" t="str">
        <f t="shared" si="16"/>
        <v>Groundnut</v>
      </c>
      <c r="B66" s="74"/>
      <c r="C66" s="74"/>
      <c r="D66" s="74"/>
      <c r="E66" s="74"/>
      <c r="F66" s="74"/>
      <c r="G66" s="74"/>
      <c r="H66" s="74"/>
    </row>
    <row r="67" spans="1:8" hidden="1">
      <c r="A67" s="73"/>
      <c r="B67" s="74"/>
      <c r="C67" s="74"/>
      <c r="D67" s="74"/>
      <c r="E67" s="74"/>
      <c r="F67" s="74"/>
      <c r="G67" s="74"/>
      <c r="H67" s="74"/>
    </row>
    <row r="68" spans="1:8" hidden="1">
      <c r="A68" s="73"/>
      <c r="B68" s="74"/>
      <c r="C68" s="74"/>
      <c r="D68" s="74"/>
      <c r="E68" s="74"/>
      <c r="F68" s="74"/>
      <c r="G68" s="74"/>
      <c r="H68" s="74"/>
    </row>
    <row r="69" spans="1:8" hidden="1">
      <c r="A69" s="73" t="str">
        <f>A40</f>
        <v>Green Gram/ Moong</v>
      </c>
      <c r="B69" s="74"/>
      <c r="C69" s="74"/>
      <c r="D69" s="74"/>
      <c r="E69" s="74"/>
      <c r="F69" s="74"/>
      <c r="G69" s="74"/>
      <c r="H69" s="74"/>
    </row>
    <row r="70" spans="1:8" hidden="1">
      <c r="A70" s="73" t="s">
        <v>449</v>
      </c>
      <c r="B70" s="74">
        <f>B40*80%</f>
        <v>0</v>
      </c>
      <c r="C70" s="74">
        <f t="shared" ref="C70:H70" si="23">C40*80%</f>
        <v>0</v>
      </c>
      <c r="D70" s="74">
        <f t="shared" si="23"/>
        <v>0</v>
      </c>
      <c r="E70" s="74">
        <f t="shared" si="23"/>
        <v>0</v>
      </c>
      <c r="F70" s="74">
        <f t="shared" si="23"/>
        <v>0</v>
      </c>
      <c r="G70" s="74">
        <f t="shared" si="23"/>
        <v>0</v>
      </c>
      <c r="H70" s="74">
        <f t="shared" si="23"/>
        <v>0</v>
      </c>
    </row>
    <row r="71" spans="1:8" hidden="1">
      <c r="A71" s="73" t="s">
        <v>141</v>
      </c>
      <c r="B71" s="74">
        <f>B40*20%</f>
        <v>0</v>
      </c>
      <c r="C71" s="74">
        <f t="shared" ref="C71:H71" si="24">C40*20%</f>
        <v>0</v>
      </c>
      <c r="D71" s="74">
        <f t="shared" si="24"/>
        <v>0</v>
      </c>
      <c r="E71" s="74">
        <f t="shared" si="24"/>
        <v>0</v>
      </c>
      <c r="F71" s="74">
        <f t="shared" si="24"/>
        <v>0</v>
      </c>
      <c r="G71" s="74">
        <f t="shared" si="24"/>
        <v>0</v>
      </c>
      <c r="H71" s="74">
        <f t="shared" si="24"/>
        <v>0</v>
      </c>
    </row>
    <row r="72" spans="1:8" hidden="1">
      <c r="A72" s="73" t="str">
        <f>A41</f>
        <v>Maize</v>
      </c>
      <c r="B72" s="74"/>
      <c r="C72" s="74"/>
      <c r="D72" s="74"/>
      <c r="E72" s="74"/>
      <c r="F72" s="74"/>
      <c r="G72" s="74"/>
      <c r="H72" s="74"/>
    </row>
    <row r="73" spans="1:8" hidden="1">
      <c r="A73" s="73"/>
      <c r="B73" s="74"/>
      <c r="C73" s="74"/>
      <c r="D73" s="74"/>
      <c r="E73" s="74"/>
      <c r="F73" s="74"/>
      <c r="G73" s="74"/>
      <c r="H73" s="74"/>
    </row>
    <row r="74" spans="1:8" hidden="1">
      <c r="A74" s="73"/>
      <c r="B74" s="74"/>
      <c r="C74" s="74"/>
      <c r="D74" s="74"/>
      <c r="E74" s="74"/>
      <c r="F74" s="74"/>
      <c r="G74" s="74"/>
      <c r="H74" s="74"/>
    </row>
    <row r="75" spans="1:8" hidden="1">
      <c r="A75" s="73"/>
      <c r="B75" s="74"/>
      <c r="C75" s="74"/>
      <c r="D75" s="74"/>
      <c r="E75" s="74"/>
      <c r="F75" s="74"/>
      <c r="G75" s="74"/>
      <c r="H75" s="74"/>
    </row>
    <row r="76" spans="1:8" hidden="1">
      <c r="A76" s="73"/>
      <c r="B76" s="74"/>
      <c r="C76" s="74"/>
      <c r="D76" s="74"/>
      <c r="E76" s="74"/>
      <c r="F76" s="74"/>
      <c r="G76" s="74"/>
      <c r="H76" s="74"/>
    </row>
    <row r="77" spans="1:8" hidden="1">
      <c r="A77" s="73" t="str">
        <f>A42</f>
        <v>Black Gram/Udid</v>
      </c>
      <c r="B77" s="74"/>
      <c r="C77" s="74"/>
      <c r="D77" s="74"/>
      <c r="E77" s="74"/>
      <c r="F77" s="74"/>
      <c r="G77" s="74"/>
      <c r="H77" s="74"/>
    </row>
    <row r="78" spans="1:8" hidden="1">
      <c r="A78" s="73" t="s">
        <v>449</v>
      </c>
      <c r="B78" s="74">
        <f t="shared" ref="B78:H78" si="25">B42*80%</f>
        <v>0</v>
      </c>
      <c r="C78" s="74">
        <f t="shared" si="25"/>
        <v>0</v>
      </c>
      <c r="D78" s="74">
        <f t="shared" si="25"/>
        <v>0</v>
      </c>
      <c r="E78" s="74">
        <f t="shared" si="25"/>
        <v>0</v>
      </c>
      <c r="F78" s="74">
        <f t="shared" si="25"/>
        <v>0</v>
      </c>
      <c r="G78" s="74">
        <f t="shared" si="25"/>
        <v>0</v>
      </c>
      <c r="H78" s="74">
        <f t="shared" si="25"/>
        <v>0</v>
      </c>
    </row>
    <row r="79" spans="1:8" hidden="1">
      <c r="A79" s="73" t="s">
        <v>141</v>
      </c>
      <c r="B79" s="74">
        <f t="shared" ref="B79:H79" si="26">B42*20%</f>
        <v>0</v>
      </c>
      <c r="C79" s="74">
        <f t="shared" si="26"/>
        <v>0</v>
      </c>
      <c r="D79" s="74">
        <f t="shared" si="26"/>
        <v>0</v>
      </c>
      <c r="E79" s="74">
        <f t="shared" si="26"/>
        <v>0</v>
      </c>
      <c r="F79" s="74">
        <f t="shared" si="26"/>
        <v>0</v>
      </c>
      <c r="G79" s="74">
        <f t="shared" si="26"/>
        <v>0</v>
      </c>
      <c r="H79" s="74">
        <f t="shared" si="26"/>
        <v>0</v>
      </c>
    </row>
    <row r="80" spans="1:8" hidden="1">
      <c r="A80" s="73" t="str">
        <f>A43</f>
        <v>Bajra</v>
      </c>
      <c r="B80" s="74"/>
      <c r="C80" s="74"/>
      <c r="D80" s="74"/>
      <c r="E80" s="74"/>
      <c r="F80" s="74"/>
      <c r="G80" s="74"/>
      <c r="H80" s="74"/>
    </row>
    <row r="81" spans="1:8" hidden="1">
      <c r="A81" s="73"/>
      <c r="B81" s="74"/>
      <c r="C81" s="74"/>
      <c r="D81" s="74"/>
      <c r="E81" s="74"/>
      <c r="F81" s="74"/>
      <c r="G81" s="74"/>
      <c r="H81" s="74"/>
    </row>
    <row r="82" spans="1:8" hidden="1">
      <c r="A82" s="73"/>
      <c r="B82" s="74"/>
      <c r="C82" s="74"/>
      <c r="D82" s="74"/>
      <c r="E82" s="74"/>
      <c r="F82" s="74"/>
      <c r="G82" s="74"/>
      <c r="H82" s="74"/>
    </row>
    <row r="83" spans="1:8" hidden="1">
      <c r="A83" s="73" t="str">
        <f>A44</f>
        <v>Jawar</v>
      </c>
      <c r="B83" s="74"/>
      <c r="C83" s="74"/>
      <c r="D83" s="74"/>
      <c r="E83" s="74"/>
      <c r="F83" s="74"/>
      <c r="G83" s="74"/>
      <c r="H83" s="74"/>
    </row>
    <row r="84" spans="1:8" hidden="1">
      <c r="A84" s="73"/>
      <c r="B84" s="74"/>
      <c r="C84" s="74"/>
      <c r="D84" s="74"/>
      <c r="E84" s="74"/>
      <c r="F84" s="74"/>
      <c r="G84" s="74"/>
      <c r="H84" s="74"/>
    </row>
    <row r="85" spans="1:8" hidden="1">
      <c r="A85" s="73"/>
      <c r="B85" s="74"/>
      <c r="C85" s="74"/>
      <c r="D85" s="74"/>
      <c r="E85" s="74"/>
      <c r="F85" s="74"/>
      <c r="G85" s="74"/>
      <c r="H85" s="74"/>
    </row>
    <row r="86" spans="1:8" hidden="1">
      <c r="A86" s="73"/>
      <c r="B86" s="74"/>
      <c r="C86" s="74"/>
      <c r="D86" s="74"/>
      <c r="E86" s="74"/>
      <c r="F86" s="74"/>
      <c r="G86" s="74"/>
      <c r="H86" s="74"/>
    </row>
    <row r="87" spans="1:8" hidden="1">
      <c r="A87" s="73" t="str">
        <f>A45</f>
        <v>Sunflower</v>
      </c>
      <c r="B87" s="74"/>
      <c r="C87" s="74"/>
      <c r="D87" s="74"/>
      <c r="E87" s="74"/>
      <c r="F87" s="74"/>
      <c r="G87" s="74"/>
      <c r="H87" s="74"/>
    </row>
    <row r="88" spans="1:8" hidden="1">
      <c r="A88" s="73"/>
      <c r="B88" s="74"/>
      <c r="C88" s="74"/>
      <c r="D88" s="74"/>
      <c r="E88" s="74"/>
      <c r="F88" s="74"/>
      <c r="G88" s="74"/>
      <c r="H88" s="74"/>
    </row>
    <row r="89" spans="1:8" hidden="1">
      <c r="A89" s="73"/>
      <c r="B89" s="74"/>
      <c r="C89" s="74"/>
      <c r="D89" s="74"/>
      <c r="E89" s="74"/>
      <c r="F89" s="74"/>
      <c r="G89" s="74"/>
      <c r="H89" s="74"/>
    </row>
    <row r="90" spans="1:8" hidden="1">
      <c r="A90" s="73"/>
      <c r="B90" s="74"/>
      <c r="C90" s="74"/>
      <c r="D90" s="74"/>
      <c r="E90" s="74"/>
      <c r="F90" s="74"/>
      <c r="G90" s="74"/>
      <c r="H90" s="74"/>
    </row>
    <row r="91" spans="1:8" hidden="1">
      <c r="A91" s="73" t="str">
        <f>A46</f>
        <v>Soybean</v>
      </c>
      <c r="B91" s="74">
        <f>B46*98%</f>
        <v>1329.7438699999998</v>
      </c>
      <c r="C91" s="74">
        <f t="shared" ref="C91:H91" si="27">C46*98%</f>
        <v>1462.718257</v>
      </c>
      <c r="D91" s="74">
        <f t="shared" si="27"/>
        <v>1595.6926439999997</v>
      </c>
      <c r="E91" s="74">
        <f t="shared" si="27"/>
        <v>1728.667031</v>
      </c>
      <c r="F91" s="74">
        <f t="shared" si="27"/>
        <v>1861.6414179999999</v>
      </c>
      <c r="G91" s="74">
        <f t="shared" si="27"/>
        <v>1994.6158049999999</v>
      </c>
      <c r="H91" s="74">
        <f t="shared" si="27"/>
        <v>2127.5901920000001</v>
      </c>
    </row>
    <row r="92" spans="1:8" hidden="1">
      <c r="A92" s="73" t="s">
        <v>742</v>
      </c>
      <c r="B92" s="74"/>
      <c r="C92" s="74"/>
      <c r="D92" s="74"/>
      <c r="E92" s="74"/>
      <c r="F92" s="74"/>
      <c r="G92" s="74"/>
      <c r="H92" s="74"/>
    </row>
    <row r="93" spans="1:8" hidden="1">
      <c r="A93" s="73" t="s">
        <v>743</v>
      </c>
      <c r="B93" s="74"/>
      <c r="C93" s="74"/>
      <c r="D93" s="74"/>
      <c r="E93" s="74"/>
      <c r="F93" s="74"/>
      <c r="G93" s="74"/>
      <c r="H93" s="74"/>
    </row>
    <row r="94" spans="1:8" hidden="1">
      <c r="A94" s="73" t="str">
        <f>A47</f>
        <v>Red Gram/Tur</v>
      </c>
      <c r="B94" s="74"/>
      <c r="C94" s="74"/>
      <c r="D94" s="74"/>
      <c r="E94" s="74"/>
      <c r="F94" s="74"/>
      <c r="G94" s="74"/>
      <c r="H94" s="74"/>
    </row>
    <row r="95" spans="1:8" hidden="1">
      <c r="A95" s="73" t="s">
        <v>449</v>
      </c>
      <c r="B95" s="74">
        <f t="shared" ref="B95:H95" si="28">B47*80%</f>
        <v>709.87279999999987</v>
      </c>
      <c r="C95" s="74">
        <f t="shared" si="28"/>
        <v>780.86007999999993</v>
      </c>
      <c r="D95" s="74">
        <f t="shared" si="28"/>
        <v>851.84735999999998</v>
      </c>
      <c r="E95" s="74">
        <f t="shared" si="28"/>
        <v>922.83464000000004</v>
      </c>
      <c r="F95" s="74">
        <f t="shared" si="28"/>
        <v>993.82191999999998</v>
      </c>
      <c r="G95" s="74">
        <f t="shared" si="28"/>
        <v>1064.8092000000001</v>
      </c>
      <c r="H95" s="74">
        <f t="shared" si="28"/>
        <v>1135.79648</v>
      </c>
    </row>
    <row r="96" spans="1:8" hidden="1">
      <c r="A96" s="73" t="s">
        <v>141</v>
      </c>
      <c r="B96" s="74">
        <f t="shared" ref="B96:H96" si="29">B47*20%</f>
        <v>177.46819999999997</v>
      </c>
      <c r="C96" s="74">
        <f t="shared" si="29"/>
        <v>195.21501999999998</v>
      </c>
      <c r="D96" s="74">
        <f t="shared" si="29"/>
        <v>212.96184</v>
      </c>
      <c r="E96" s="74">
        <f t="shared" si="29"/>
        <v>230.70866000000001</v>
      </c>
      <c r="F96" s="74">
        <f t="shared" si="29"/>
        <v>248.45547999999999</v>
      </c>
      <c r="G96" s="74">
        <f t="shared" si="29"/>
        <v>266.20230000000004</v>
      </c>
      <c r="H96" s="74">
        <f t="shared" si="29"/>
        <v>283.94911999999999</v>
      </c>
    </row>
    <row r="97" spans="1:8" hidden="1">
      <c r="A97" s="73" t="str">
        <f>A48</f>
        <v>Paddy/Rice</v>
      </c>
      <c r="B97" s="74"/>
      <c r="C97" s="74"/>
      <c r="D97" s="74"/>
      <c r="E97" s="74"/>
      <c r="F97" s="74"/>
      <c r="G97" s="74"/>
      <c r="H97" s="74"/>
    </row>
    <row r="98" spans="1:8" hidden="1">
      <c r="A98" s="73"/>
      <c r="B98" s="74"/>
      <c r="C98" s="74"/>
      <c r="D98" s="74"/>
      <c r="E98" s="74"/>
      <c r="F98" s="74"/>
      <c r="G98" s="74"/>
      <c r="H98" s="74"/>
    </row>
    <row r="99" spans="1:8" hidden="1">
      <c r="A99" s="73"/>
      <c r="B99" s="74"/>
      <c r="C99" s="74"/>
      <c r="D99" s="74"/>
      <c r="E99" s="74"/>
      <c r="F99" s="74"/>
      <c r="G99" s="74"/>
      <c r="H99" s="74"/>
    </row>
    <row r="100" spans="1:8" hidden="1">
      <c r="A100" s="73" t="str">
        <f>A49</f>
        <v>Green Gram/ Moong</v>
      </c>
      <c r="B100" s="74"/>
      <c r="C100" s="74"/>
      <c r="D100" s="74"/>
      <c r="E100" s="74"/>
      <c r="F100" s="74"/>
      <c r="G100" s="74"/>
      <c r="H100" s="74"/>
    </row>
    <row r="101" spans="1:8" hidden="1">
      <c r="A101" s="73"/>
      <c r="B101" s="74"/>
      <c r="C101" s="74"/>
      <c r="D101" s="74"/>
      <c r="E101" s="74"/>
      <c r="F101" s="74"/>
      <c r="G101" s="74"/>
      <c r="H101" s="74"/>
    </row>
    <row r="102" spans="1:8" hidden="1">
      <c r="A102" s="73"/>
      <c r="B102" s="74"/>
      <c r="C102" s="74"/>
      <c r="D102" s="74"/>
      <c r="E102" s="74"/>
      <c r="F102" s="74"/>
      <c r="G102" s="74"/>
      <c r="H102" s="74"/>
    </row>
    <row r="103" spans="1:8" hidden="1">
      <c r="A103" s="73" t="str">
        <f>A50</f>
        <v>Maize</v>
      </c>
      <c r="B103" s="74"/>
      <c r="C103" s="74"/>
      <c r="D103" s="74"/>
      <c r="E103" s="74"/>
      <c r="F103" s="74"/>
      <c r="G103" s="74"/>
      <c r="H103" s="74"/>
    </row>
    <row r="104" spans="1:8" hidden="1">
      <c r="A104" s="73"/>
      <c r="B104" s="74"/>
      <c r="C104" s="74"/>
      <c r="D104" s="74"/>
      <c r="E104" s="74"/>
      <c r="F104" s="74"/>
      <c r="G104" s="74"/>
      <c r="H104" s="74"/>
    </row>
    <row r="105" spans="1:8" hidden="1">
      <c r="A105" s="73"/>
      <c r="B105" s="74"/>
      <c r="C105" s="74"/>
      <c r="D105" s="74"/>
      <c r="E105" s="74"/>
      <c r="F105" s="74"/>
      <c r="G105" s="74"/>
      <c r="H105" s="74"/>
    </row>
    <row r="106" spans="1:8" hidden="1">
      <c r="A106" s="73" t="str">
        <f>A51</f>
        <v>Black Gram/Udid</v>
      </c>
      <c r="B106" s="74"/>
      <c r="C106" s="74"/>
      <c r="D106" s="74"/>
      <c r="E106" s="74"/>
      <c r="F106" s="74"/>
      <c r="G106" s="74"/>
      <c r="H106" s="74"/>
    </row>
    <row r="107" spans="1:8" hidden="1">
      <c r="A107" s="73"/>
      <c r="B107" s="74"/>
      <c r="C107" s="74"/>
      <c r="D107" s="74"/>
      <c r="E107" s="74"/>
      <c r="F107" s="74"/>
      <c r="G107" s="74"/>
      <c r="H107" s="74"/>
    </row>
    <row r="108" spans="1:8" hidden="1">
      <c r="A108" s="73"/>
      <c r="B108" s="74"/>
      <c r="C108" s="74"/>
      <c r="D108" s="74"/>
      <c r="E108" s="74"/>
      <c r="F108" s="74"/>
      <c r="G108" s="74"/>
      <c r="H108" s="74"/>
    </row>
    <row r="109" spans="1:8" hidden="1">
      <c r="A109" s="73" t="str">
        <f>A52</f>
        <v>Wheat</v>
      </c>
      <c r="B109" s="74"/>
      <c r="C109" s="74"/>
      <c r="D109" s="74"/>
      <c r="E109" s="74"/>
      <c r="F109" s="74"/>
      <c r="G109" s="74"/>
      <c r="H109" s="74"/>
    </row>
    <row r="110" spans="1:8" hidden="1">
      <c r="A110" s="73"/>
      <c r="B110" s="74"/>
      <c r="C110" s="74"/>
      <c r="D110" s="74"/>
      <c r="E110" s="74"/>
      <c r="F110" s="74"/>
      <c r="G110" s="74"/>
      <c r="H110" s="74"/>
    </row>
    <row r="111" spans="1:8" hidden="1">
      <c r="A111" s="73"/>
      <c r="B111" s="74"/>
      <c r="C111" s="74"/>
      <c r="D111" s="74"/>
      <c r="E111" s="74"/>
      <c r="F111" s="74"/>
      <c r="G111" s="74"/>
      <c r="H111" s="74"/>
    </row>
    <row r="112" spans="1:8" hidden="1">
      <c r="A112" s="73" t="str">
        <f>A53</f>
        <v>Bengal Gram/Channa</v>
      </c>
      <c r="B112" s="74"/>
      <c r="C112" s="74"/>
      <c r="D112" s="74"/>
      <c r="E112" s="74"/>
      <c r="F112" s="74"/>
      <c r="G112" s="74"/>
      <c r="H112" s="74"/>
    </row>
    <row r="113" spans="1:8" hidden="1">
      <c r="A113" s="73"/>
      <c r="B113" s="74"/>
      <c r="C113" s="74"/>
      <c r="D113" s="74"/>
      <c r="E113" s="74"/>
      <c r="F113" s="74"/>
      <c r="G113" s="74"/>
      <c r="H113" s="74"/>
    </row>
    <row r="114" spans="1:8" hidden="1">
      <c r="A114" s="73"/>
      <c r="B114" s="74"/>
      <c r="C114" s="74"/>
      <c r="D114" s="74"/>
      <c r="E114" s="74"/>
      <c r="F114" s="74"/>
      <c r="G114" s="74"/>
      <c r="H114" s="74"/>
    </row>
    <row r="115" spans="1:8" hidden="1">
      <c r="A115" s="73" t="str">
        <f>A54</f>
        <v>Groundnut</v>
      </c>
      <c r="B115" s="74"/>
      <c r="C115" s="74"/>
      <c r="D115" s="74"/>
      <c r="E115" s="74"/>
      <c r="F115" s="74"/>
      <c r="G115" s="74"/>
      <c r="H115" s="74"/>
    </row>
    <row r="116" spans="1:8" hidden="1">
      <c r="A116" s="73"/>
      <c r="B116" s="74"/>
      <c r="C116" s="74"/>
      <c r="D116" s="74"/>
      <c r="E116" s="74"/>
      <c r="F116" s="74"/>
      <c r="G116" s="74"/>
      <c r="H116" s="74"/>
    </row>
    <row r="117" spans="1:8" hidden="1">
      <c r="A117" s="73"/>
      <c r="B117" s="74"/>
      <c r="C117" s="74"/>
      <c r="D117" s="74"/>
      <c r="E117" s="74"/>
      <c r="F117" s="74"/>
      <c r="G117" s="74"/>
      <c r="H117" s="74"/>
    </row>
    <row r="118" spans="1:8" hidden="1">
      <c r="A118" s="73">
        <f>A55</f>
        <v>0</v>
      </c>
      <c r="B118" s="74"/>
      <c r="C118" s="74"/>
      <c r="D118" s="74"/>
      <c r="E118" s="74"/>
      <c r="F118" s="74"/>
      <c r="G118" s="74"/>
      <c r="H118" s="74"/>
    </row>
    <row r="119" spans="1:8" hidden="1">
      <c r="A119" s="73"/>
      <c r="B119" s="74"/>
      <c r="C119" s="74"/>
      <c r="D119" s="74"/>
      <c r="E119" s="74"/>
      <c r="F119" s="74"/>
      <c r="G119" s="74"/>
      <c r="H119" s="74"/>
    </row>
    <row r="120" spans="1:8" hidden="1">
      <c r="A120" s="73"/>
      <c r="B120" s="74"/>
      <c r="C120" s="74"/>
      <c r="D120" s="74"/>
      <c r="E120" s="74"/>
      <c r="F120" s="74"/>
      <c r="G120" s="74"/>
      <c r="H120" s="74"/>
    </row>
    <row r="121" spans="1:8" hidden="1">
      <c r="A121" s="73">
        <f>A56</f>
        <v>0</v>
      </c>
      <c r="B121" s="74"/>
      <c r="C121" s="74"/>
      <c r="D121" s="74"/>
      <c r="E121" s="74"/>
      <c r="F121" s="74"/>
      <c r="G121" s="74"/>
      <c r="H121" s="74"/>
    </row>
    <row r="122" spans="1:8" hidden="1">
      <c r="A122" s="72" t="s">
        <v>353</v>
      </c>
      <c r="B122" s="252"/>
      <c r="C122" s="252"/>
      <c r="D122" s="252"/>
      <c r="E122" s="252"/>
      <c r="F122" s="252"/>
      <c r="G122" s="252"/>
      <c r="H122" s="252"/>
    </row>
    <row r="123" spans="1:8">
      <c r="A123" s="72"/>
      <c r="B123" s="252"/>
      <c r="C123" s="252"/>
      <c r="D123" s="252"/>
      <c r="E123" s="252"/>
      <c r="F123" s="252"/>
      <c r="G123" s="252"/>
      <c r="H123" s="252"/>
    </row>
    <row r="124" spans="1:8">
      <c r="A124" s="72" t="s">
        <v>436</v>
      </c>
      <c r="B124">
        <v>50</v>
      </c>
    </row>
    <row r="131" spans="1:12" ht="18.75">
      <c r="A131" s="404" t="s">
        <v>778</v>
      </c>
      <c r="B131" s="404"/>
      <c r="C131" s="404"/>
      <c r="D131" s="404"/>
      <c r="E131" s="404"/>
      <c r="F131" s="404"/>
      <c r="G131" s="404"/>
      <c r="H131" s="404"/>
      <c r="I131" s="404"/>
      <c r="J131" s="404"/>
    </row>
    <row r="132" spans="1:12">
      <c r="A132" s="12"/>
      <c r="B132" s="12"/>
      <c r="C132" s="12"/>
      <c r="D132" s="12"/>
      <c r="E132" s="12"/>
      <c r="F132" s="12"/>
      <c r="G132" s="12"/>
      <c r="H132" s="12"/>
    </row>
    <row r="133" spans="1:12">
      <c r="A133" s="162"/>
      <c r="B133" s="162"/>
      <c r="C133" s="162"/>
      <c r="D133" s="163">
        <v>1</v>
      </c>
      <c r="E133" s="164">
        <f>(D133*5%)+D133</f>
        <v>1.05</v>
      </c>
      <c r="F133" s="164">
        <f t="shared" ref="F133:J133" si="30">(E133*5%)+E133</f>
        <v>1.1025</v>
      </c>
      <c r="G133" s="164">
        <f t="shared" si="30"/>
        <v>1.1576250000000001</v>
      </c>
      <c r="H133" s="164">
        <f t="shared" si="30"/>
        <v>1.2155062500000002</v>
      </c>
      <c r="I133" s="164">
        <f t="shared" si="30"/>
        <v>1.2762815625000004</v>
      </c>
      <c r="J133" s="164">
        <f t="shared" si="30"/>
        <v>1.3400956406250004</v>
      </c>
    </row>
    <row r="134" spans="1:12">
      <c r="A134" s="72"/>
      <c r="B134" s="72"/>
      <c r="C134" s="72"/>
      <c r="D134" s="72"/>
      <c r="E134" s="72"/>
      <c r="F134" s="72"/>
      <c r="G134" s="72"/>
      <c r="H134" s="72"/>
      <c r="I134" s="72"/>
      <c r="J134" s="72"/>
    </row>
    <row r="135" spans="1:12">
      <c r="A135" s="124" t="s">
        <v>0</v>
      </c>
      <c r="B135" s="124" t="s">
        <v>133</v>
      </c>
      <c r="C135" s="124" t="s">
        <v>152</v>
      </c>
      <c r="D135" s="96" t="s">
        <v>2</v>
      </c>
      <c r="E135" s="96" t="s">
        <v>3</v>
      </c>
      <c r="F135" s="96" t="s">
        <v>4</v>
      </c>
      <c r="G135" s="96" t="s">
        <v>5</v>
      </c>
      <c r="H135" s="96" t="s">
        <v>6</v>
      </c>
      <c r="I135" s="96" t="s">
        <v>168</v>
      </c>
      <c r="J135" s="96" t="s">
        <v>167</v>
      </c>
    </row>
    <row r="136" spans="1:12">
      <c r="A136" s="73"/>
      <c r="B136" s="73"/>
      <c r="C136" s="73"/>
      <c r="D136" s="73"/>
      <c r="E136" s="73"/>
      <c r="F136" s="73"/>
      <c r="G136" s="73"/>
      <c r="H136" s="73"/>
      <c r="I136" s="73"/>
      <c r="J136" s="73"/>
    </row>
    <row r="137" spans="1:12">
      <c r="A137" s="75" t="s">
        <v>127</v>
      </c>
      <c r="B137" s="75"/>
      <c r="C137" s="75"/>
      <c r="D137" s="362"/>
      <c r="E137" s="362"/>
      <c r="F137" s="362"/>
      <c r="G137" s="362"/>
      <c r="H137" s="362"/>
      <c r="I137" s="73"/>
      <c r="J137" s="73"/>
    </row>
    <row r="138" spans="1:12">
      <c r="A138" s="75" t="str">
        <f>A58</f>
        <v>Soybean</v>
      </c>
      <c r="B138" s="75" t="s">
        <v>355</v>
      </c>
      <c r="C138" s="75">
        <v>5500</v>
      </c>
      <c r="D138" s="376">
        <f>((1-'5.Closing Stock &amp; W Capital'!$D$17)*'13.Facility 2 Cleaning &amp; Gradin'!B58)*$C138*D$133</f>
        <v>6877014.6623749984</v>
      </c>
      <c r="E138" s="376">
        <f>(((1-'5.Closing Stock &amp; W Capital'!$D$17)*C58)+('5.Closing Stock &amp; W Capital'!$D$17*B58))*$C138*E$133</f>
        <v>8322997.4821743732</v>
      </c>
      <c r="F138" s="376">
        <f>(((1-'5.Closing Stock &amp; W Capital'!$D$17)*D58)+('5.Closing Stock &amp; W Capital'!$D$17*C58))*$C138*F$133</f>
        <v>9537243.0052587204</v>
      </c>
      <c r="G138" s="376">
        <f>(((1-'5.Closing Stock &amp; W Capital'!$D$17)*E58)+('5.Closing Stock &amp; W Capital'!$D$17*D58))*$C138*G$133</f>
        <v>10852105.586946063</v>
      </c>
      <c r="H138" s="376">
        <f>(((1-'5.Closing Stock &amp; W Capital'!$D$17)*F58)+('5.Closing Stock &amp; W Capital'!$D$17*E58))*$C138*H$133</f>
        <v>12274611.319288991</v>
      </c>
      <c r="I138" s="376">
        <f>(((1-'5.Closing Stock &amp; W Capital'!$D$17)*G58)+('5.Closing Stock &amp; W Capital'!$D$17*F58))*$C138*I$133</f>
        <v>13812237.360898852</v>
      </c>
      <c r="J138" s="376">
        <f>(((1-'5.Closing Stock &amp; W Capital'!$D$17)*H58)+('5.Closing Stock &amp; W Capital'!$D$17*G58))*$C138*J$133</f>
        <v>15472939.478371471</v>
      </c>
    </row>
    <row r="139" spans="1:12">
      <c r="A139" s="75" t="str">
        <f t="shared" ref="A139" si="31">A59</f>
        <v>Red Gram/Tur</v>
      </c>
      <c r="B139" s="75" t="s">
        <v>355</v>
      </c>
      <c r="C139" s="73">
        <v>6500</v>
      </c>
      <c r="D139" s="376">
        <f>((1-'5.Closing Stock &amp; W Capital'!$D$17)*'13.Facility 2 Cleaning &amp; Gradin'!B59)*$C139*D$133</f>
        <v>5314950.7547499985</v>
      </c>
      <c r="E139" s="376">
        <f>(((1-'5.Closing Stock &amp; W Capital'!$D$17)*C59)+('5.Closing Stock &amp; W Capital'!$D$17*B59))*$C139*E$133</f>
        <v>6432489.0844987491</v>
      </c>
      <c r="F139" s="376">
        <f>(((1-'5.Closing Stock &amp; W Capital'!$D$17)*D59)+('5.Closing Stock &amp; W Capital'!$D$17*C59))*$C139*F$133</f>
        <v>7370927.5605249377</v>
      </c>
      <c r="G139" s="376">
        <f>(((1-'5.Closing Stock &amp; W Capital'!$D$17)*E59)+('5.Closing Stock &amp; W Capital'!$D$17*D59))*$C139*G$133</f>
        <v>8387128.6614424987</v>
      </c>
      <c r="H139" s="376">
        <f>(((1-'5.Closing Stock &amp; W Capital'!$D$17)*F59)+('5.Closing Stock &amp; W Capital'!$D$17*E59))*$C139*H$133</f>
        <v>9486522.5535505004</v>
      </c>
      <c r="I139" s="376">
        <f>(((1-'5.Closing Stock &amp; W Capital'!$D$17)*G59)+('5.Closing Stock &amp; W Capital'!$D$17*F59))*$C139*I$133</f>
        <v>10674888.013215698</v>
      </c>
      <c r="J139" s="376">
        <f>(((1-'5.Closing Stock &amp; W Capital'!$D$17)*H59)+('5.Closing Stock &amp; W Capital'!$D$17*G59))*$C139*J$133</f>
        <v>11958373.712463541</v>
      </c>
      <c r="K139" s="52"/>
      <c r="L139" s="52"/>
    </row>
    <row r="140" spans="1:12">
      <c r="A140" s="75" t="str">
        <f>A61</f>
        <v>Green Gram/ Moong</v>
      </c>
      <c r="B140" s="75" t="s">
        <v>355</v>
      </c>
      <c r="C140" s="73">
        <v>6500</v>
      </c>
      <c r="D140" s="376">
        <f>((1-'5.Closing Stock &amp; W Capital'!$D$17)*'13.Facility 2 Cleaning &amp; Gradin'!B61)*$C140*D$133</f>
        <v>2657475.3773749992</v>
      </c>
      <c r="E140" s="376">
        <f>(((1-'5.Closing Stock &amp; W Capital'!$D$17)*C61)+('5.Closing Stock &amp; W Capital'!$D$17*B61))*$C140*E$133</f>
        <v>3216244.5422493746</v>
      </c>
      <c r="F140" s="376">
        <f>(((1-'5.Closing Stock &amp; W Capital'!$D$17)*D61)+('5.Closing Stock &amp; W Capital'!$D$17*C61))*$C140*F$133</f>
        <v>3685463.7802624688</v>
      </c>
      <c r="G140" s="376">
        <f>(((1-'5.Closing Stock &amp; W Capital'!$D$17)*E61)+('5.Closing Stock &amp; W Capital'!$D$17*D61))*$C140*G$133</f>
        <v>4193564.3307212493</v>
      </c>
      <c r="H140" s="376">
        <f>(((1-'5.Closing Stock &amp; W Capital'!$D$17)*F61)+('5.Closing Stock &amp; W Capital'!$D$17*E61))*$C140*H$133</f>
        <v>4743261.2767752502</v>
      </c>
      <c r="I140" s="376">
        <f>(((1-'5.Closing Stock &amp; W Capital'!$D$17)*G61)+('5.Closing Stock &amp; W Capital'!$D$17*F61))*$C140*I$133</f>
        <v>5337444.0066078492</v>
      </c>
      <c r="J140" s="376">
        <f>(((1-'5.Closing Stock &amp; W Capital'!$D$17)*H61)+('5.Closing Stock &amp; W Capital'!$D$17*G61))*$C140*J$133</f>
        <v>5979186.8562317705</v>
      </c>
    </row>
    <row r="141" spans="1:12">
      <c r="A141" s="75" t="str">
        <f>A63</f>
        <v>Black Gram/Udid</v>
      </c>
      <c r="B141" s="75" t="s">
        <v>355</v>
      </c>
      <c r="C141" s="73">
        <v>6500</v>
      </c>
      <c r="D141" s="376">
        <f>((1-'5.Closing Stock &amp; W Capital'!$D$17)*'13.Facility 2 Cleaning &amp; Gradin'!B63)*$C141*D$133</f>
        <v>2657475.3773749992</v>
      </c>
      <c r="E141" s="376">
        <f>(((1-'5.Closing Stock &amp; W Capital'!$D$17)*C63)+('5.Closing Stock &amp; W Capital'!$D$17*B63))*$C141*E$133</f>
        <v>3216244.5422493746</v>
      </c>
      <c r="F141" s="376">
        <f>(((1-'5.Closing Stock &amp; W Capital'!$D$17)*D63)+('5.Closing Stock &amp; W Capital'!$D$17*C63))*$C141*F$133</f>
        <v>3685463.7802624688</v>
      </c>
      <c r="G141" s="376">
        <f>(((1-'5.Closing Stock &amp; W Capital'!$D$17)*E63)+('5.Closing Stock &amp; W Capital'!$D$17*D63))*$C141*G$133</f>
        <v>4193564.3307212493</v>
      </c>
      <c r="H141" s="376">
        <f>(((1-'5.Closing Stock &amp; W Capital'!$D$17)*F63)+('5.Closing Stock &amp; W Capital'!$D$17*E63))*$C141*H$133</f>
        <v>4743261.2767752502</v>
      </c>
      <c r="I141" s="376">
        <f>(((1-'5.Closing Stock &amp; W Capital'!$D$17)*G63)+('5.Closing Stock &amp; W Capital'!$D$17*F63))*$C141*I$133</f>
        <v>5337444.0066078492</v>
      </c>
      <c r="J141" s="376">
        <f>(((1-'5.Closing Stock &amp; W Capital'!$D$17)*H63)+('5.Closing Stock &amp; W Capital'!$D$17*G63))*$C141*J$133</f>
        <v>5979186.8562317705</v>
      </c>
    </row>
    <row r="142" spans="1:12">
      <c r="A142" s="75" t="str">
        <f>A65</f>
        <v>Bengal Gram/Channa</v>
      </c>
      <c r="B142" s="75" t="s">
        <v>355</v>
      </c>
      <c r="C142" s="73">
        <v>5500</v>
      </c>
      <c r="D142" s="376">
        <f>((1-'5.Closing Stock &amp; W Capital'!$D$17)*'13.Facility 2 Cleaning &amp; Gradin'!B65)*$C142*D$133</f>
        <v>4625759.3381999983</v>
      </c>
      <c r="E142" s="376">
        <f>(((1-'5.Closing Stock &amp; W Capital'!$D$17)*C65)+('5.Closing Stock &amp; W Capital'!$D$17*B65))*$C142*E$133</f>
        <v>5598386.1043109987</v>
      </c>
      <c r="F142" s="376">
        <f>(((1-'5.Closing Stock &amp; W Capital'!$D$17)*D65)+('5.Closing Stock &amp; W Capital'!$D$17*C65))*$C142*F$133</f>
        <v>6415136.9537755484</v>
      </c>
      <c r="G142" s="376">
        <f>(((1-'5.Closing Stock &amp; W Capital'!$D$17)*E65)+('5.Closing Stock &amp; W Capital'!$D$17*D65))*$C142*G$133</f>
        <v>7299566.9229257768</v>
      </c>
      <c r="H142" s="376">
        <f>(((1-'5.Closing Stock &amp; W Capital'!$D$17)*F65)+('5.Closing Stock &amp; W Capital'!$D$17*E65))*$C142*H$133</f>
        <v>8256402.04660659</v>
      </c>
      <c r="I142" s="376">
        <f>(((1-'5.Closing Stock &amp; W Capital'!$D$17)*G65)+('5.Closing Stock &amp; W Capital'!$D$17*F65))*$C142*I$133</f>
        <v>9290671.76534817</v>
      </c>
      <c r="J142" s="376">
        <f>(((1-'5.Closing Stock &amp; W Capital'!$D$17)*H65)+('5.Closing Stock &amp; W Capital'!$D$17*G65))*$C142*J$133</f>
        <v>10407727.450847389</v>
      </c>
    </row>
    <row r="143" spans="1:12">
      <c r="A143" s="75" t="s">
        <v>770</v>
      </c>
      <c r="B143" s="73" t="str">
        <f>B142</f>
        <v>Quintals</v>
      </c>
      <c r="C143" s="73">
        <v>80</v>
      </c>
      <c r="D143" s="384">
        <f t="shared" ref="D143:J143" si="32">B35*$C$143*D133</f>
        <v>3191261.1120000007</v>
      </c>
      <c r="E143" s="384">
        <f t="shared" si="32"/>
        <v>3705464.3043600009</v>
      </c>
      <c r="F143" s="384">
        <f t="shared" si="32"/>
        <v>4263109.6631760001</v>
      </c>
      <c r="G143" s="384">
        <f t="shared" si="32"/>
        <v>4867255.897112702</v>
      </c>
      <c r="H143" s="384">
        <f t="shared" si="32"/>
        <v>5521158.9802851323</v>
      </c>
      <c r="I143" s="384">
        <f t="shared" si="32"/>
        <v>6228284.2320320252</v>
      </c>
      <c r="J143" s="384">
        <f t="shared" si="32"/>
        <v>6992319.1115028933</v>
      </c>
    </row>
    <row r="144" spans="1:12">
      <c r="A144" s="75" t="s">
        <v>127</v>
      </c>
      <c r="B144" s="75"/>
      <c r="C144" s="75"/>
      <c r="D144" s="385">
        <f t="shared" ref="D144:J144" si="33">SUM(D138:D143)</f>
        <v>25323936.622074995</v>
      </c>
      <c r="E144" s="385">
        <f t="shared" si="33"/>
        <v>30491826.05984287</v>
      </c>
      <c r="F144" s="385">
        <f t="shared" si="33"/>
        <v>34957344.743260145</v>
      </c>
      <c r="G144" s="385">
        <f t="shared" si="33"/>
        <v>39793185.729869537</v>
      </c>
      <c r="H144" s="385">
        <f t="shared" si="33"/>
        <v>45025217.453281716</v>
      </c>
      <c r="I144" s="385">
        <f t="shared" si="33"/>
        <v>50680969.384710439</v>
      </c>
      <c r="J144" s="385">
        <f t="shared" si="33"/>
        <v>56789733.465648837</v>
      </c>
    </row>
    <row r="145" spans="1:10">
      <c r="A145" s="73"/>
      <c r="B145" s="73"/>
      <c r="C145" s="73"/>
      <c r="D145" s="384"/>
      <c r="E145" s="384"/>
      <c r="F145" s="384"/>
      <c r="G145" s="384"/>
      <c r="H145" s="384"/>
      <c r="I145" s="386"/>
      <c r="J145" s="386"/>
    </row>
    <row r="146" spans="1:10">
      <c r="A146" s="75" t="s">
        <v>142</v>
      </c>
      <c r="B146" s="75"/>
      <c r="C146" s="75"/>
      <c r="D146" s="384"/>
      <c r="E146" s="384"/>
      <c r="F146" s="384"/>
      <c r="G146" s="384"/>
      <c r="H146" s="384"/>
      <c r="I146" s="386"/>
      <c r="J146" s="386"/>
    </row>
    <row r="147" spans="1:10">
      <c r="A147" s="75" t="s">
        <v>305</v>
      </c>
      <c r="B147" s="75"/>
      <c r="C147" s="73"/>
      <c r="D147" s="384"/>
      <c r="E147" s="384"/>
      <c r="F147" s="384"/>
      <c r="G147" s="384"/>
      <c r="H147" s="384"/>
      <c r="I147" s="386"/>
      <c r="J147" s="386"/>
    </row>
    <row r="148" spans="1:10">
      <c r="A148" s="75" t="str">
        <f>A138</f>
        <v>Soybean</v>
      </c>
      <c r="B148" s="73" t="s">
        <v>355</v>
      </c>
      <c r="C148" s="73">
        <v>5000</v>
      </c>
      <c r="D148" s="165">
        <f t="shared" ref="D148:J148" si="34">B46*$C$148*D133</f>
        <v>6784407.4999999991</v>
      </c>
      <c r="E148" s="165">
        <f t="shared" si="34"/>
        <v>7835990.6625000006</v>
      </c>
      <c r="F148" s="165">
        <f t="shared" si="34"/>
        <v>8975771.1224999987</v>
      </c>
      <c r="G148" s="165">
        <f t="shared" si="34"/>
        <v>10209939.651843751</v>
      </c>
      <c r="H148" s="165">
        <f t="shared" si="34"/>
        <v>11545085.606315628</v>
      </c>
      <c r="I148" s="165">
        <f t="shared" si="34"/>
        <v>12988221.307105081</v>
      </c>
      <c r="J148" s="165">
        <f t="shared" si="34"/>
        <v>14546807.863957692</v>
      </c>
    </row>
    <row r="149" spans="1:10">
      <c r="A149" s="75" t="str">
        <f>A139</f>
        <v>Red Gram/Tur</v>
      </c>
      <c r="B149" s="73" t="s">
        <v>355</v>
      </c>
      <c r="C149" s="73">
        <v>6000</v>
      </c>
      <c r="D149" s="165">
        <f t="shared" ref="D149:J149" si="35">B47*$C$149*D133</f>
        <v>5324045.9999999991</v>
      </c>
      <c r="E149" s="165">
        <f t="shared" si="35"/>
        <v>6149273.129999999</v>
      </c>
      <c r="F149" s="165">
        <f t="shared" si="35"/>
        <v>7043712.8579999991</v>
      </c>
      <c r="G149" s="165">
        <f t="shared" si="35"/>
        <v>8012223.3759750007</v>
      </c>
      <c r="H149" s="165">
        <f t="shared" si="35"/>
        <v>9059975.6636025012</v>
      </c>
      <c r="I149" s="165">
        <f t="shared" si="35"/>
        <v>10192472.621552816</v>
      </c>
      <c r="J149" s="165">
        <f t="shared" si="35"/>
        <v>11415569.336139154</v>
      </c>
    </row>
    <row r="150" spans="1:10">
      <c r="A150" s="75" t="str">
        <f>A140</f>
        <v>Green Gram/ Moong</v>
      </c>
      <c r="B150" s="73" t="s">
        <v>355</v>
      </c>
      <c r="C150" s="73">
        <v>6000</v>
      </c>
      <c r="D150" s="165">
        <f t="shared" ref="D150:J150" si="36">B49*$C$150*D133</f>
        <v>2662022.9999999995</v>
      </c>
      <c r="E150" s="165">
        <f t="shared" si="36"/>
        <v>3074636.5649999995</v>
      </c>
      <c r="F150" s="165">
        <f t="shared" si="36"/>
        <v>3521856.4289999995</v>
      </c>
      <c r="G150" s="165">
        <f t="shared" si="36"/>
        <v>4006111.6879875003</v>
      </c>
      <c r="H150" s="165">
        <f t="shared" si="36"/>
        <v>4529987.8318012506</v>
      </c>
      <c r="I150" s="165">
        <f t="shared" si="36"/>
        <v>5096236.3107764078</v>
      </c>
      <c r="J150" s="165">
        <f t="shared" si="36"/>
        <v>5707784.6680695768</v>
      </c>
    </row>
    <row r="151" spans="1:10">
      <c r="A151" s="75" t="str">
        <f>A141</f>
        <v>Black Gram/Udid</v>
      </c>
      <c r="B151" s="73" t="s">
        <v>355</v>
      </c>
      <c r="C151" s="73">
        <v>6000</v>
      </c>
      <c r="D151" s="165">
        <f t="shared" ref="D151:J151" si="37">B51*$C$151*D133</f>
        <v>2662022.9999999995</v>
      </c>
      <c r="E151" s="165">
        <f t="shared" si="37"/>
        <v>3074636.5649999995</v>
      </c>
      <c r="F151" s="165">
        <f t="shared" si="37"/>
        <v>3521856.4289999995</v>
      </c>
      <c r="G151" s="165">
        <f t="shared" si="37"/>
        <v>4006111.6879875003</v>
      </c>
      <c r="H151" s="165">
        <f t="shared" si="37"/>
        <v>4529987.8318012506</v>
      </c>
      <c r="I151" s="165">
        <f t="shared" si="37"/>
        <v>5096236.3107764078</v>
      </c>
      <c r="J151" s="165">
        <f t="shared" si="37"/>
        <v>5707784.6680695768</v>
      </c>
    </row>
    <row r="152" spans="1:10">
      <c r="A152" s="75" t="str">
        <f t="shared" ref="A152" si="38">A142</f>
        <v>Bengal Gram/Channa</v>
      </c>
      <c r="B152" s="73" t="s">
        <v>355</v>
      </c>
      <c r="C152" s="165">
        <v>5000</v>
      </c>
      <c r="D152" s="165">
        <f t="shared" ref="D152:J152" si="39">B53*$C$152*D133</f>
        <v>4563467.9999999981</v>
      </c>
      <c r="E152" s="165">
        <f t="shared" si="39"/>
        <v>5270805.5399999991</v>
      </c>
      <c r="F152" s="165">
        <f t="shared" si="39"/>
        <v>6037468.1639999999</v>
      </c>
      <c r="G152" s="165">
        <f t="shared" si="39"/>
        <v>6867620.0365500003</v>
      </c>
      <c r="H152" s="165">
        <f t="shared" si="39"/>
        <v>7765693.4259450017</v>
      </c>
      <c r="I152" s="165">
        <f t="shared" si="39"/>
        <v>8736405.1041881274</v>
      </c>
      <c r="J152" s="165">
        <f t="shared" si="39"/>
        <v>9784773.7166907042</v>
      </c>
    </row>
    <row r="153" spans="1:10">
      <c r="A153" s="73" t="s">
        <v>311</v>
      </c>
      <c r="B153" s="73">
        <v>10</v>
      </c>
      <c r="C153" s="73">
        <v>300</v>
      </c>
      <c r="D153" s="165">
        <f t="shared" ref="D153:J153" si="40">B12*$B$153*$C$153*D133</f>
        <v>415528.79062499997</v>
      </c>
      <c r="E153" s="165">
        <f t="shared" si="40"/>
        <v>482482.33129687508</v>
      </c>
      <c r="F153" s="165">
        <f t="shared" si="40"/>
        <v>555092.40405937505</v>
      </c>
      <c r="G153" s="165">
        <f t="shared" si="40"/>
        <v>633757.27826988301</v>
      </c>
      <c r="H153" s="165">
        <f t="shared" si="40"/>
        <v>718900.90889129322</v>
      </c>
      <c r="I153" s="165">
        <f t="shared" si="40"/>
        <v>810974.5093791699</v>
      </c>
      <c r="J153" s="165">
        <f t="shared" si="40"/>
        <v>910458.21764360601</v>
      </c>
    </row>
    <row r="154" spans="1:10">
      <c r="A154" s="73" t="s">
        <v>144</v>
      </c>
      <c r="B154" s="73">
        <f>25*0.746*8</f>
        <v>149.19999999999999</v>
      </c>
      <c r="C154" s="73">
        <v>8</v>
      </c>
      <c r="D154" s="165">
        <f t="shared" ref="D154:J154" si="41">B12*$B$154*$C$154*D133</f>
        <v>165325.05482999998</v>
      </c>
      <c r="E154" s="165">
        <f t="shared" si="41"/>
        <v>191963.63687865</v>
      </c>
      <c r="F154" s="165">
        <f t="shared" si="41"/>
        <v>220852.76449509</v>
      </c>
      <c r="G154" s="165">
        <f t="shared" si="41"/>
        <v>252150.89578097747</v>
      </c>
      <c r="H154" s="165">
        <f t="shared" si="41"/>
        <v>286026.70828421589</v>
      </c>
      <c r="I154" s="165">
        <f t="shared" si="41"/>
        <v>322659.72479832574</v>
      </c>
      <c r="J154" s="165">
        <f t="shared" si="41"/>
        <v>362240.97619313601</v>
      </c>
    </row>
    <row r="155" spans="1:10">
      <c r="A155" s="85" t="s">
        <v>691</v>
      </c>
      <c r="B155" s="85"/>
      <c r="C155" s="85">
        <v>30</v>
      </c>
      <c r="D155" s="165">
        <f t="shared" ref="D155:J155" si="42">SUM(B58:B65)*$C$155*D133</f>
        <v>117687.88160999998</v>
      </c>
      <c r="E155" s="165">
        <f t="shared" si="42"/>
        <v>135929.50325954999</v>
      </c>
      <c r="F155" s="165">
        <f t="shared" si="42"/>
        <v>155701.06737002995</v>
      </c>
      <c r="G155" s="165">
        <f t="shared" si="42"/>
        <v>177109.96413340917</v>
      </c>
      <c r="H155" s="165">
        <f t="shared" si="42"/>
        <v>200270.49790470113</v>
      </c>
      <c r="I155" s="165">
        <f t="shared" si="42"/>
        <v>225304.3101427888</v>
      </c>
      <c r="J155" s="165">
        <f t="shared" si="42"/>
        <v>252340.82735992345</v>
      </c>
    </row>
    <row r="156" spans="1:10">
      <c r="A156" s="73" t="s">
        <v>291</v>
      </c>
      <c r="B156" s="9"/>
      <c r="C156" s="9">
        <v>40</v>
      </c>
      <c r="D156" s="165">
        <f t="shared" ref="D156:J156" si="43">SUM(B58:B65)*$C$156*D133</f>
        <v>156917.17547999998</v>
      </c>
      <c r="E156" s="165">
        <f t="shared" si="43"/>
        <v>181239.33767939999</v>
      </c>
      <c r="F156" s="165">
        <f t="shared" si="43"/>
        <v>207601.42316003994</v>
      </c>
      <c r="G156" s="165">
        <f t="shared" si="43"/>
        <v>236146.61884454556</v>
      </c>
      <c r="H156" s="165">
        <f t="shared" si="43"/>
        <v>267027.33053960145</v>
      </c>
      <c r="I156" s="165">
        <f t="shared" si="43"/>
        <v>300405.74685705174</v>
      </c>
      <c r="J156" s="165">
        <f t="shared" si="43"/>
        <v>336454.43647989794</v>
      </c>
    </row>
    <row r="157" spans="1:10">
      <c r="A157" s="9"/>
      <c r="B157" s="9"/>
      <c r="C157" s="9"/>
      <c r="D157" s="222"/>
      <c r="E157" s="9"/>
      <c r="F157" s="9"/>
      <c r="G157" s="9"/>
      <c r="H157" s="9"/>
      <c r="I157" s="9"/>
      <c r="J157" s="9"/>
    </row>
    <row r="158" spans="1:10">
      <c r="A158" s="9"/>
      <c r="B158" s="9"/>
      <c r="C158" s="9"/>
      <c r="D158" s="363"/>
      <c r="E158" s="9"/>
      <c r="F158" s="9"/>
      <c r="G158" s="9"/>
      <c r="H158" s="9"/>
      <c r="I158" s="9"/>
      <c r="J158" s="9"/>
    </row>
    <row r="159" spans="1:10">
      <c r="A159" s="9"/>
      <c r="B159" s="9"/>
      <c r="C159" s="9"/>
      <c r="D159" s="9"/>
      <c r="E159" s="9"/>
      <c r="F159" s="9"/>
      <c r="G159" s="9"/>
      <c r="H159" s="9"/>
      <c r="I159" s="9"/>
      <c r="J159" s="9"/>
    </row>
    <row r="160" spans="1:10">
      <c r="A160" s="165" t="s">
        <v>334</v>
      </c>
      <c r="B160" s="165"/>
      <c r="C160" s="165"/>
      <c r="D160" s="165"/>
      <c r="E160" s="165">
        <f>'5.Closing Stock &amp; W Capital'!F8</f>
        <v>404047.49512724992</v>
      </c>
      <c r="F160" s="165">
        <f>'5.Closing Stock &amp; W Capital'!G8</f>
        <v>466852.84570572368</v>
      </c>
      <c r="G160" s="165">
        <f>'5.Closing Stock &amp; W Capital'!H8</f>
        <v>534928.61260422668</v>
      </c>
      <c r="H160" s="165">
        <f>'5.Closing Stock &amp; W Capital'!I8</f>
        <v>608644.82407831587</v>
      </c>
      <c r="I160" s="74">
        <f>'5.Closing Stock &amp; W Capital'!J8</f>
        <v>688395.33516830334</v>
      </c>
      <c r="J160" s="74">
        <f>'5.Closing Stock &amp; W Capital'!K8</f>
        <v>774599.28530709352</v>
      </c>
    </row>
    <row r="161" spans="1:10">
      <c r="A161" s="165" t="s">
        <v>335</v>
      </c>
      <c r="B161" s="165"/>
      <c r="C161" s="165"/>
      <c r="D161" s="165">
        <f>'5.Closing Stock &amp; W Capital'!E17</f>
        <v>404047.49512724992</v>
      </c>
      <c r="E161" s="165">
        <f>'5.Closing Stock &amp; W Capital'!F17</f>
        <v>466852.84570572368</v>
      </c>
      <c r="F161" s="165">
        <f>'5.Closing Stock &amp; W Capital'!G17</f>
        <v>534928.61260422668</v>
      </c>
      <c r="G161" s="165">
        <f>'5.Closing Stock &amp; W Capital'!H17</f>
        <v>608644.82407831587</v>
      </c>
      <c r="H161" s="165">
        <f>'5.Closing Stock &amp; W Capital'!I17</f>
        <v>688395.33516830334</v>
      </c>
      <c r="I161" s="74">
        <f>'5.Closing Stock &amp; W Capital'!J17</f>
        <v>774599.28530709352</v>
      </c>
      <c r="J161" s="74">
        <f>'5.Closing Stock &amp; W Capital'!K17</f>
        <v>867702.64212184213</v>
      </c>
    </row>
    <row r="162" spans="1:10">
      <c r="A162" s="165"/>
      <c r="B162" s="165"/>
      <c r="C162" s="165"/>
      <c r="D162" s="165"/>
      <c r="E162" s="165"/>
      <c r="F162" s="165"/>
      <c r="G162" s="165"/>
      <c r="H162" s="165"/>
      <c r="I162" s="74"/>
      <c r="J162" s="74"/>
    </row>
    <row r="163" spans="1:10">
      <c r="A163" s="360" t="s">
        <v>312</v>
      </c>
      <c r="B163" s="165"/>
      <c r="C163" s="165"/>
      <c r="D163" s="360">
        <f t="shared" ref="D163:J163" si="44">SUM(D148:D160)-D161</f>
        <v>22447378.907417741</v>
      </c>
      <c r="E163" s="360">
        <f t="shared" si="44"/>
        <v>26334151.921036001</v>
      </c>
      <c r="F163" s="360">
        <f t="shared" si="44"/>
        <v>30171836.894686028</v>
      </c>
      <c r="G163" s="360">
        <f t="shared" si="44"/>
        <v>34327454.98589848</v>
      </c>
      <c r="H163" s="360">
        <f t="shared" si="44"/>
        <v>38823205.293995447</v>
      </c>
      <c r="I163" s="360">
        <f t="shared" si="44"/>
        <v>43682711.995437391</v>
      </c>
      <c r="J163" s="360">
        <f t="shared" si="44"/>
        <v>48931111.353788517</v>
      </c>
    </row>
    <row r="164" spans="1:10">
      <c r="A164" s="73"/>
      <c r="B164" s="73"/>
      <c r="C164" s="73"/>
      <c r="D164" s="73"/>
      <c r="E164" s="73"/>
      <c r="F164" s="73"/>
      <c r="G164" s="73"/>
      <c r="H164" s="73"/>
      <c r="I164" s="73"/>
      <c r="J164" s="73"/>
    </row>
    <row r="165" spans="1:10">
      <c r="A165" s="166" t="s">
        <v>304</v>
      </c>
      <c r="B165" s="166"/>
      <c r="C165" s="166"/>
      <c r="D165" s="360"/>
      <c r="E165" s="360"/>
      <c r="F165" s="360"/>
      <c r="G165" s="360"/>
      <c r="H165" s="360"/>
      <c r="I165" s="91"/>
      <c r="J165" s="91"/>
    </row>
    <row r="166" spans="1:10">
      <c r="A166" s="73" t="s">
        <v>184</v>
      </c>
      <c r="B166" s="73">
        <v>1</v>
      </c>
      <c r="C166" s="165">
        <v>12000</v>
      </c>
      <c r="D166" s="165">
        <f t="shared" ref="D166:J166" si="45">$B$166*$C$166*D133*12</f>
        <v>144000</v>
      </c>
      <c r="E166" s="165">
        <f t="shared" si="45"/>
        <v>151200</v>
      </c>
      <c r="F166" s="165">
        <f t="shared" si="45"/>
        <v>158760</v>
      </c>
      <c r="G166" s="165">
        <f t="shared" si="45"/>
        <v>166698.00000000003</v>
      </c>
      <c r="H166" s="165">
        <f t="shared" si="45"/>
        <v>175032.90000000002</v>
      </c>
      <c r="I166" s="165">
        <f t="shared" si="45"/>
        <v>183784.54500000004</v>
      </c>
      <c r="J166" s="165">
        <f t="shared" si="45"/>
        <v>192973.77225000004</v>
      </c>
    </row>
    <row r="167" spans="1:10">
      <c r="A167" s="73" t="s">
        <v>189</v>
      </c>
      <c r="B167" s="73">
        <v>1</v>
      </c>
      <c r="C167" s="165">
        <v>8000</v>
      </c>
      <c r="D167" s="165">
        <f t="shared" ref="D167:J167" si="46">$B$167*$C$167*D133*12</f>
        <v>96000</v>
      </c>
      <c r="E167" s="165">
        <f t="shared" si="46"/>
        <v>100800</v>
      </c>
      <c r="F167" s="165">
        <f t="shared" si="46"/>
        <v>105840</v>
      </c>
      <c r="G167" s="165">
        <f t="shared" si="46"/>
        <v>111132.00000000003</v>
      </c>
      <c r="H167" s="165">
        <f t="shared" si="46"/>
        <v>116688.6</v>
      </c>
      <c r="I167" s="165">
        <f t="shared" si="46"/>
        <v>122523.03000000003</v>
      </c>
      <c r="J167" s="165">
        <f t="shared" si="46"/>
        <v>128649.18150000004</v>
      </c>
    </row>
    <row r="168" spans="1:10">
      <c r="A168" s="73"/>
      <c r="B168" s="73"/>
      <c r="C168" s="165"/>
      <c r="D168" s="165"/>
      <c r="E168" s="165"/>
      <c r="F168" s="165"/>
      <c r="G168" s="165"/>
      <c r="H168" s="165"/>
      <c r="I168" s="165"/>
      <c r="J168" s="165"/>
    </row>
    <row r="169" spans="1:10">
      <c r="A169" s="73"/>
      <c r="B169" s="73"/>
      <c r="C169" s="165"/>
      <c r="D169" s="165"/>
      <c r="E169" s="165"/>
      <c r="F169" s="165"/>
      <c r="G169" s="165"/>
      <c r="H169" s="165"/>
      <c r="I169" s="165"/>
      <c r="J169" s="165"/>
    </row>
    <row r="170" spans="1:10">
      <c r="A170" s="75" t="s">
        <v>304</v>
      </c>
      <c r="B170" s="75"/>
      <c r="C170" s="75"/>
      <c r="D170" s="360">
        <f>SUM(D166:D168)</f>
        <v>240000</v>
      </c>
      <c r="E170" s="360">
        <f t="shared" ref="E170:J170" si="47">SUM(E166:E168)</f>
        <v>252000</v>
      </c>
      <c r="F170" s="360">
        <f t="shared" si="47"/>
        <v>264600</v>
      </c>
      <c r="G170" s="360">
        <f t="shared" si="47"/>
        <v>277830.00000000006</v>
      </c>
      <c r="H170" s="360">
        <f t="shared" si="47"/>
        <v>291721.5</v>
      </c>
      <c r="I170" s="360">
        <f t="shared" si="47"/>
        <v>306307.57500000007</v>
      </c>
      <c r="J170" s="360">
        <f t="shared" si="47"/>
        <v>321622.9537500001</v>
      </c>
    </row>
    <row r="171" spans="1:10">
      <c r="A171" s="166" t="s">
        <v>292</v>
      </c>
      <c r="B171" s="166"/>
      <c r="C171" s="166"/>
      <c r="D171" s="360">
        <f>D163+D170</f>
        <v>22687378.907417741</v>
      </c>
      <c r="E171" s="360">
        <f t="shared" ref="E171:J171" si="48">E163+E170</f>
        <v>26586151.921036001</v>
      </c>
      <c r="F171" s="360">
        <f t="shared" si="48"/>
        <v>30436436.894686028</v>
      </c>
      <c r="G171" s="360">
        <f t="shared" si="48"/>
        <v>34605284.98589848</v>
      </c>
      <c r="H171" s="360">
        <f t="shared" si="48"/>
        <v>39114926.793995447</v>
      </c>
      <c r="I171" s="360">
        <f t="shared" si="48"/>
        <v>43989019.570437394</v>
      </c>
      <c r="J171" s="360">
        <f t="shared" si="48"/>
        <v>49252734.307538517</v>
      </c>
    </row>
    <row r="172" spans="1:10">
      <c r="A172" s="73"/>
      <c r="B172" s="73"/>
      <c r="C172" s="73"/>
      <c r="D172" s="165"/>
      <c r="E172" s="165"/>
      <c r="F172" s="165"/>
      <c r="G172" s="165"/>
      <c r="H172" s="165"/>
      <c r="I172" s="165"/>
      <c r="J172" s="165"/>
    </row>
    <row r="173" spans="1:10">
      <c r="A173" s="75" t="s">
        <v>7</v>
      </c>
      <c r="B173" s="75"/>
      <c r="C173" s="75"/>
      <c r="D173" s="360">
        <f t="shared" ref="D173:J173" si="49">D144-D171</f>
        <v>2636557.7146572545</v>
      </c>
      <c r="E173" s="360">
        <f t="shared" si="49"/>
        <v>3905674.1388068683</v>
      </c>
      <c r="F173" s="360">
        <f t="shared" si="49"/>
        <v>4520907.8485741168</v>
      </c>
      <c r="G173" s="360">
        <f t="shared" si="49"/>
        <v>5187900.7439710572</v>
      </c>
      <c r="H173" s="360">
        <f t="shared" si="49"/>
        <v>5910290.6592862681</v>
      </c>
      <c r="I173" s="360">
        <f t="shared" si="49"/>
        <v>6691949.8142730445</v>
      </c>
      <c r="J173" s="360">
        <f t="shared" si="49"/>
        <v>7536999.1581103206</v>
      </c>
    </row>
    <row r="174" spans="1:10">
      <c r="A174" s="406" t="s">
        <v>410</v>
      </c>
      <c r="B174" s="406"/>
      <c r="C174" s="406"/>
      <c r="D174" s="406"/>
      <c r="E174" s="406"/>
      <c r="F174" s="406"/>
      <c r="G174" s="406"/>
      <c r="H174" s="406"/>
      <c r="I174" s="406"/>
      <c r="J174" s="406"/>
    </row>
    <row r="176" spans="1:10">
      <c r="A176" t="s">
        <v>521</v>
      </c>
    </row>
    <row r="177" spans="1:2">
      <c r="A177">
        <v>1</v>
      </c>
      <c r="B177" t="s">
        <v>534</v>
      </c>
    </row>
    <row r="178" spans="1:2">
      <c r="A178">
        <v>2</v>
      </c>
      <c r="B178" t="s">
        <v>535</v>
      </c>
    </row>
    <row r="179" spans="1:2">
      <c r="A179">
        <v>3</v>
      </c>
      <c r="B179" s="72" t="s">
        <v>579</v>
      </c>
    </row>
    <row r="182" spans="1:2">
      <c r="A182" t="s">
        <v>672</v>
      </c>
      <c r="B182" t="s">
        <v>673</v>
      </c>
    </row>
    <row r="183" spans="1:2">
      <c r="B183" t="s">
        <v>686</v>
      </c>
    </row>
  </sheetData>
  <mergeCells count="4">
    <mergeCell ref="A131:J131"/>
    <mergeCell ref="A3:H3"/>
    <mergeCell ref="A174:J174"/>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topLeftCell="C1" zoomScale="80" zoomScaleSheetLayoutView="80" workbookViewId="0">
      <selection activeCell="G10" sqref="G10"/>
    </sheetView>
  </sheetViews>
  <sheetFormatPr defaultRowHeight="15"/>
  <cols>
    <col min="1" max="1" width="30.42578125" bestFit="1" customWidth="1"/>
    <col min="2" max="2" width="9.85546875" customWidth="1"/>
    <col min="3" max="3" width="10.42578125" bestFit="1" customWidth="1"/>
    <col min="4" max="4" width="12.28515625" bestFit="1" customWidth="1"/>
    <col min="5" max="8" width="10.42578125" bestFit="1" customWidth="1"/>
    <col min="9" max="10" width="10.5703125" bestFit="1" customWidth="1"/>
  </cols>
  <sheetData>
    <row r="2" spans="1:10" ht="18.75">
      <c r="A2" s="404" t="s">
        <v>568</v>
      </c>
      <c r="B2" s="404"/>
      <c r="C2" s="404"/>
      <c r="D2" s="404"/>
      <c r="E2" s="404"/>
      <c r="F2" s="404"/>
      <c r="G2" s="404"/>
      <c r="H2" s="404"/>
    </row>
    <row r="3" spans="1:10" ht="18.75">
      <c r="A3" s="404" t="s">
        <v>569</v>
      </c>
      <c r="B3" s="404"/>
      <c r="C3" s="404"/>
      <c r="D3" s="404"/>
      <c r="E3" s="404"/>
      <c r="F3" s="404"/>
      <c r="G3" s="404"/>
      <c r="H3" s="404"/>
    </row>
    <row r="4" spans="1:10">
      <c r="A4" s="72" t="s">
        <v>160</v>
      </c>
      <c r="B4" s="219">
        <v>1000</v>
      </c>
      <c r="C4" s="157" t="s">
        <v>293</v>
      </c>
      <c r="D4" s="157"/>
      <c r="E4" s="157"/>
      <c r="F4" s="157"/>
      <c r="G4" s="72"/>
      <c r="H4" s="72"/>
    </row>
    <row r="5" spans="1:10">
      <c r="A5" s="72"/>
      <c r="B5" s="158"/>
      <c r="C5" s="72"/>
      <c r="D5" s="72"/>
      <c r="E5" s="72"/>
      <c r="F5" s="72"/>
      <c r="G5" s="72"/>
      <c r="H5" s="72"/>
    </row>
    <row r="6" spans="1:10">
      <c r="A6" s="72" t="s">
        <v>295</v>
      </c>
      <c r="B6" s="159">
        <v>12</v>
      </c>
      <c r="C6" s="72"/>
      <c r="D6" s="159"/>
      <c r="E6" s="159"/>
      <c r="F6" s="72"/>
      <c r="G6" s="72"/>
      <c r="H6" s="72"/>
    </row>
    <row r="7" spans="1:10">
      <c r="A7" s="72"/>
      <c r="B7" s="72"/>
      <c r="C7" s="159"/>
      <c r="D7" s="159"/>
      <c r="E7" s="159"/>
      <c r="F7" s="72"/>
      <c r="G7" s="72"/>
      <c r="H7" s="72"/>
    </row>
    <row r="8" spans="1:10">
      <c r="A8" s="124" t="s">
        <v>128</v>
      </c>
      <c r="B8" s="96" t="s">
        <v>2</v>
      </c>
      <c r="C8" s="96" t="s">
        <v>3</v>
      </c>
      <c r="D8" s="96" t="s">
        <v>4</v>
      </c>
      <c r="E8" s="96" t="s">
        <v>5</v>
      </c>
      <c r="F8" s="96" t="s">
        <v>6</v>
      </c>
      <c r="G8" s="96" t="s">
        <v>168</v>
      </c>
      <c r="H8" s="96" t="s">
        <v>167</v>
      </c>
    </row>
    <row r="9" spans="1:10">
      <c r="A9" s="73" t="s">
        <v>296</v>
      </c>
      <c r="B9" s="233">
        <v>0.8</v>
      </c>
      <c r="C9" s="233">
        <f>B9+5%</f>
        <v>0.85000000000000009</v>
      </c>
      <c r="D9" s="233">
        <f>C9+5%</f>
        <v>0.90000000000000013</v>
      </c>
      <c r="E9" s="233">
        <f>D9+5%</f>
        <v>0.95000000000000018</v>
      </c>
      <c r="F9" s="233">
        <f>E9+5%</f>
        <v>1.0000000000000002</v>
      </c>
      <c r="G9" s="233">
        <f>F9</f>
        <v>1.0000000000000002</v>
      </c>
      <c r="H9" s="233">
        <f>G9</f>
        <v>1.0000000000000002</v>
      </c>
    </row>
    <row r="10" spans="1:10">
      <c r="A10" s="75" t="s">
        <v>313</v>
      </c>
      <c r="B10" s="161">
        <f t="shared" ref="B10:H10" si="0">$B$4*B9*$B$6</f>
        <v>9600</v>
      </c>
      <c r="C10" s="161">
        <f t="shared" si="0"/>
        <v>10200.000000000002</v>
      </c>
      <c r="D10" s="161">
        <f t="shared" si="0"/>
        <v>10800.000000000002</v>
      </c>
      <c r="E10" s="161">
        <f t="shared" si="0"/>
        <v>11400.000000000004</v>
      </c>
      <c r="F10" s="161">
        <f t="shared" si="0"/>
        <v>12000.000000000004</v>
      </c>
      <c r="G10" s="161">
        <f t="shared" si="0"/>
        <v>12000.000000000004</v>
      </c>
      <c r="H10" s="161">
        <f t="shared" si="0"/>
        <v>12000.000000000004</v>
      </c>
    </row>
    <row r="15" spans="1:10" ht="18.75">
      <c r="A15" s="404" t="s">
        <v>570</v>
      </c>
      <c r="B15" s="404"/>
      <c r="C15" s="404"/>
      <c r="D15" s="404"/>
      <c r="E15" s="404"/>
      <c r="F15" s="404"/>
      <c r="G15" s="404"/>
      <c r="H15" s="404"/>
      <c r="I15" s="404"/>
      <c r="J15" s="404"/>
    </row>
    <row r="16" spans="1:10">
      <c r="A16" s="12"/>
      <c r="B16" s="12"/>
      <c r="C16" s="12"/>
      <c r="D16" s="12"/>
      <c r="E16" s="12"/>
      <c r="F16" s="12"/>
      <c r="G16" s="12"/>
      <c r="H16" s="12"/>
    </row>
    <row r="17" spans="1:10">
      <c r="A17" s="72"/>
      <c r="B17" s="72"/>
      <c r="C17" s="72"/>
      <c r="D17" s="154">
        <v>1</v>
      </c>
      <c r="E17" s="152">
        <f>(D17*5%)+D17</f>
        <v>1.05</v>
      </c>
      <c r="F17" s="152">
        <f t="shared" ref="F17:J17" si="1">(E17*5%)+E17</f>
        <v>1.1025</v>
      </c>
      <c r="G17" s="152">
        <f t="shared" si="1"/>
        <v>1.1576250000000001</v>
      </c>
      <c r="H17" s="152">
        <f t="shared" si="1"/>
        <v>1.2155062500000002</v>
      </c>
      <c r="I17" s="152">
        <f t="shared" si="1"/>
        <v>1.2762815625000004</v>
      </c>
      <c r="J17" s="152">
        <f t="shared" si="1"/>
        <v>1.3400956406250004</v>
      </c>
    </row>
    <row r="18" spans="1:10">
      <c r="A18" s="124" t="s">
        <v>0</v>
      </c>
      <c r="B18" s="124" t="s">
        <v>133</v>
      </c>
      <c r="C18" s="124" t="s">
        <v>152</v>
      </c>
      <c r="D18" s="96" t="s">
        <v>2</v>
      </c>
      <c r="E18" s="96" t="s">
        <v>3</v>
      </c>
      <c r="F18" s="96" t="s">
        <v>4</v>
      </c>
      <c r="G18" s="96" t="s">
        <v>5</v>
      </c>
      <c r="H18" s="96" t="s">
        <v>6</v>
      </c>
      <c r="I18" s="96" t="s">
        <v>168</v>
      </c>
      <c r="J18" s="96" t="s">
        <v>167</v>
      </c>
    </row>
    <row r="19" spans="1:10">
      <c r="A19" s="73"/>
      <c r="B19" s="73"/>
      <c r="C19" s="73"/>
      <c r="D19" s="73"/>
      <c r="E19" s="73"/>
      <c r="F19" s="73"/>
      <c r="G19" s="73"/>
      <c r="H19" s="73"/>
      <c r="I19" s="73"/>
      <c r="J19" s="73"/>
    </row>
    <row r="20" spans="1:10">
      <c r="A20" s="75" t="s">
        <v>127</v>
      </c>
      <c r="B20" s="75"/>
      <c r="C20" s="75"/>
      <c r="D20" s="73"/>
      <c r="E20" s="73"/>
      <c r="F20" s="73"/>
      <c r="G20" s="73"/>
      <c r="H20" s="73"/>
      <c r="I20" s="73"/>
      <c r="J20" s="73"/>
    </row>
    <row r="21" spans="1:10">
      <c r="A21" s="73" t="s">
        <v>315</v>
      </c>
      <c r="B21" s="73"/>
      <c r="C21" s="214">
        <v>120</v>
      </c>
      <c r="D21" s="74">
        <f t="shared" ref="D21:J21" si="2">B10*$C$21*D17</f>
        <v>1152000</v>
      </c>
      <c r="E21" s="74">
        <f t="shared" si="2"/>
        <v>1285200.0000000002</v>
      </c>
      <c r="F21" s="74">
        <f t="shared" si="2"/>
        <v>1428840.0000000002</v>
      </c>
      <c r="G21" s="74">
        <f t="shared" si="2"/>
        <v>1583631.0000000007</v>
      </c>
      <c r="H21" s="74">
        <f t="shared" si="2"/>
        <v>1750329.0000000009</v>
      </c>
      <c r="I21" s="74">
        <f t="shared" si="2"/>
        <v>1837845.4500000011</v>
      </c>
      <c r="J21" s="74">
        <f t="shared" si="2"/>
        <v>1929737.7225000013</v>
      </c>
    </row>
    <row r="22" spans="1:10">
      <c r="A22" s="73"/>
      <c r="B22" s="73"/>
      <c r="C22" s="74"/>
      <c r="D22" s="74"/>
      <c r="E22" s="74"/>
      <c r="F22" s="74"/>
      <c r="G22" s="74"/>
      <c r="H22" s="74"/>
      <c r="I22" s="74"/>
      <c r="J22" s="74"/>
    </row>
    <row r="23" spans="1:10">
      <c r="A23" s="75" t="s">
        <v>143</v>
      </c>
      <c r="B23" s="75"/>
      <c r="C23" s="91"/>
      <c r="D23" s="74">
        <f>SUM(D21:D22)</f>
        <v>1152000</v>
      </c>
      <c r="E23" s="74">
        <f t="shared" ref="E23:J23" si="3">SUM(E21:E22)</f>
        <v>1285200.0000000002</v>
      </c>
      <c r="F23" s="74">
        <f t="shared" si="3"/>
        <v>1428840.0000000002</v>
      </c>
      <c r="G23" s="74">
        <f t="shared" si="3"/>
        <v>1583631.0000000007</v>
      </c>
      <c r="H23" s="74">
        <f t="shared" si="3"/>
        <v>1750329.0000000009</v>
      </c>
      <c r="I23" s="74">
        <f t="shared" si="3"/>
        <v>1837845.4500000011</v>
      </c>
      <c r="J23" s="74">
        <f t="shared" si="3"/>
        <v>1929737.7225000013</v>
      </c>
    </row>
    <row r="24" spans="1:10">
      <c r="A24" s="73"/>
      <c r="B24" s="73"/>
      <c r="C24" s="74"/>
      <c r="D24" s="74"/>
      <c r="E24" s="74"/>
      <c r="F24" s="74"/>
      <c r="G24" s="74"/>
      <c r="H24" s="74"/>
      <c r="I24" s="74"/>
      <c r="J24" s="74"/>
    </row>
    <row r="25" spans="1:10">
      <c r="A25" s="75" t="s">
        <v>142</v>
      </c>
      <c r="B25" s="75"/>
      <c r="C25" s="74"/>
      <c r="D25" s="74"/>
      <c r="E25" s="74"/>
      <c r="F25" s="74"/>
      <c r="G25" s="74"/>
      <c r="H25" s="74"/>
      <c r="I25" s="74"/>
      <c r="J25" s="74"/>
    </row>
    <row r="26" spans="1:10">
      <c r="A26" s="75" t="s">
        <v>305</v>
      </c>
      <c r="B26" s="75"/>
      <c r="C26" s="74"/>
      <c r="D26" s="74"/>
      <c r="E26" s="74"/>
      <c r="F26" s="74"/>
      <c r="G26" s="74"/>
      <c r="H26" s="74"/>
      <c r="I26" s="74"/>
      <c r="J26" s="74"/>
    </row>
    <row r="27" spans="1:10">
      <c r="A27" s="73" t="s">
        <v>297</v>
      </c>
      <c r="B27" s="194" t="s">
        <v>293</v>
      </c>
      <c r="C27" s="214">
        <v>14</v>
      </c>
      <c r="D27" s="74">
        <f t="shared" ref="D27:J27" si="4">$B$4*$C$27*D17*4</f>
        <v>56000</v>
      </c>
      <c r="E27" s="74">
        <f t="shared" si="4"/>
        <v>58800</v>
      </c>
      <c r="F27" s="74">
        <f t="shared" si="4"/>
        <v>61740</v>
      </c>
      <c r="G27" s="74">
        <f t="shared" si="4"/>
        <v>64827.000000000007</v>
      </c>
      <c r="H27" s="74">
        <f t="shared" si="4"/>
        <v>68068.350000000006</v>
      </c>
      <c r="I27" s="74">
        <f t="shared" si="4"/>
        <v>71471.767500000016</v>
      </c>
      <c r="J27" s="74">
        <f t="shared" si="4"/>
        <v>75045.355875000023</v>
      </c>
    </row>
    <row r="28" spans="1:10">
      <c r="A28" s="73" t="s">
        <v>298</v>
      </c>
      <c r="B28" s="194" t="s">
        <v>293</v>
      </c>
      <c r="C28" s="214">
        <v>14</v>
      </c>
      <c r="D28" s="74">
        <f t="shared" ref="D28:J28" si="5">$B$4*$C$28*D17*12</f>
        <v>168000</v>
      </c>
      <c r="E28" s="74">
        <f t="shared" si="5"/>
        <v>176400</v>
      </c>
      <c r="F28" s="74">
        <f t="shared" si="5"/>
        <v>185220</v>
      </c>
      <c r="G28" s="74">
        <f t="shared" si="5"/>
        <v>194481.00000000003</v>
      </c>
      <c r="H28" s="74">
        <f t="shared" si="5"/>
        <v>204205.05000000002</v>
      </c>
      <c r="I28" s="74">
        <f t="shared" si="5"/>
        <v>214415.30250000005</v>
      </c>
      <c r="J28" s="74">
        <f t="shared" si="5"/>
        <v>225136.06762500008</v>
      </c>
    </row>
    <row r="29" spans="1:10">
      <c r="A29" s="73" t="s">
        <v>299</v>
      </c>
      <c r="B29" s="194"/>
      <c r="C29" s="214">
        <v>10000</v>
      </c>
      <c r="D29" s="74">
        <f>$C$29*12*D17</f>
        <v>120000</v>
      </c>
      <c r="E29" s="74">
        <f t="shared" ref="E29:J29" si="6">$C$29*12*E17</f>
        <v>126000</v>
      </c>
      <c r="F29" s="74">
        <f t="shared" si="6"/>
        <v>132300</v>
      </c>
      <c r="G29" s="74">
        <f t="shared" si="6"/>
        <v>138915.00000000003</v>
      </c>
      <c r="H29" s="74">
        <f t="shared" si="6"/>
        <v>145860.75000000003</v>
      </c>
      <c r="I29" s="74">
        <f t="shared" si="6"/>
        <v>153153.78750000003</v>
      </c>
      <c r="J29" s="74">
        <f t="shared" si="6"/>
        <v>160811.47687500005</v>
      </c>
    </row>
    <row r="30" spans="1:10">
      <c r="A30" s="73" t="s">
        <v>746</v>
      </c>
      <c r="B30" s="194"/>
      <c r="C30" s="378">
        <v>1.5E-3</v>
      </c>
      <c r="D30" s="74">
        <f>$B$4*50000*$C$30*D17</f>
        <v>75000</v>
      </c>
      <c r="E30" s="74">
        <f t="shared" ref="E30:J30" si="7">$B$4*50000*$C$30*E17</f>
        <v>78750</v>
      </c>
      <c r="F30" s="74">
        <f t="shared" si="7"/>
        <v>82687.5</v>
      </c>
      <c r="G30" s="74">
        <f t="shared" si="7"/>
        <v>86821.875000000015</v>
      </c>
      <c r="H30" s="74">
        <f t="shared" si="7"/>
        <v>91162.968750000015</v>
      </c>
      <c r="I30" s="74">
        <f t="shared" si="7"/>
        <v>95721.117187500029</v>
      </c>
      <c r="J30" s="74">
        <f t="shared" si="7"/>
        <v>100507.17304687503</v>
      </c>
    </row>
    <row r="31" spans="1:10">
      <c r="A31" s="73"/>
      <c r="B31" s="194"/>
      <c r="C31" s="214"/>
      <c r="D31" s="74"/>
      <c r="E31" s="74"/>
      <c r="F31" s="74"/>
      <c r="G31" s="74"/>
      <c r="H31" s="74"/>
      <c r="I31" s="74"/>
      <c r="J31" s="74"/>
    </row>
    <row r="32" spans="1:10">
      <c r="A32" s="73"/>
      <c r="B32" s="194"/>
      <c r="C32" s="214"/>
      <c r="D32" s="74"/>
      <c r="E32" s="74"/>
      <c r="F32" s="74"/>
      <c r="G32" s="74"/>
      <c r="H32" s="74"/>
      <c r="I32" s="74"/>
      <c r="J32" s="74"/>
    </row>
    <row r="33" spans="1:10">
      <c r="A33" s="73"/>
      <c r="B33" s="194"/>
      <c r="C33" s="214"/>
      <c r="D33" s="74"/>
      <c r="E33" s="74"/>
      <c r="F33" s="74"/>
      <c r="G33" s="74"/>
      <c r="H33" s="74"/>
      <c r="I33" s="74"/>
      <c r="J33" s="74"/>
    </row>
    <row r="34" spans="1:10">
      <c r="A34" s="75" t="s">
        <v>312</v>
      </c>
      <c r="B34" s="197"/>
      <c r="C34" s="218"/>
      <c r="D34" s="91">
        <f>SUM(D27:D33)</f>
        <v>419000</v>
      </c>
      <c r="E34" s="91">
        <f t="shared" ref="E34:J34" si="8">SUM(E27:E33)</f>
        <v>439950</v>
      </c>
      <c r="F34" s="91">
        <f t="shared" si="8"/>
        <v>461947.5</v>
      </c>
      <c r="G34" s="91">
        <f t="shared" si="8"/>
        <v>485044.87500000006</v>
      </c>
      <c r="H34" s="91">
        <f t="shared" si="8"/>
        <v>509297.11875000002</v>
      </c>
      <c r="I34" s="91">
        <f t="shared" si="8"/>
        <v>534761.97468750016</v>
      </c>
      <c r="J34" s="91">
        <f t="shared" si="8"/>
        <v>561500.07342187513</v>
      </c>
    </row>
    <row r="35" spans="1:10">
      <c r="A35" s="75"/>
      <c r="B35" s="197"/>
      <c r="C35" s="218"/>
      <c r="D35" s="91"/>
      <c r="E35" s="91"/>
      <c r="F35" s="91"/>
      <c r="G35" s="91"/>
      <c r="H35" s="91"/>
      <c r="I35" s="91"/>
      <c r="J35" s="91"/>
    </row>
    <row r="36" spans="1:10">
      <c r="A36" s="75" t="s">
        <v>304</v>
      </c>
      <c r="B36" s="194"/>
      <c r="C36" s="214"/>
      <c r="D36" s="74"/>
      <c r="E36" s="74"/>
      <c r="F36" s="74"/>
      <c r="G36" s="74"/>
      <c r="H36" s="74"/>
      <c r="I36" s="74"/>
      <c r="J36" s="74"/>
    </row>
    <row r="37" spans="1:10">
      <c r="A37" s="73" t="s">
        <v>314</v>
      </c>
      <c r="B37" s="194">
        <v>1</v>
      </c>
      <c r="C37" s="214">
        <v>10000</v>
      </c>
      <c r="D37" s="74">
        <f>$B$37*$C$37*D17*12</f>
        <v>120000</v>
      </c>
      <c r="E37" s="74">
        <f t="shared" ref="E37:J37" si="9">$B$37*$C$37*E17*12</f>
        <v>126000</v>
      </c>
      <c r="F37" s="74">
        <f t="shared" si="9"/>
        <v>132300</v>
      </c>
      <c r="G37" s="74">
        <f t="shared" si="9"/>
        <v>138915.00000000003</v>
      </c>
      <c r="H37" s="74">
        <f t="shared" si="9"/>
        <v>145860.75000000003</v>
      </c>
      <c r="I37" s="74">
        <f t="shared" si="9"/>
        <v>153153.78750000003</v>
      </c>
      <c r="J37" s="74">
        <f t="shared" si="9"/>
        <v>160811.47687500005</v>
      </c>
    </row>
    <row r="38" spans="1:10">
      <c r="A38" s="73"/>
      <c r="B38" s="194"/>
      <c r="C38" s="214"/>
      <c r="D38" s="74"/>
      <c r="E38" s="74"/>
      <c r="F38" s="74"/>
      <c r="G38" s="74"/>
      <c r="H38" s="74"/>
      <c r="I38" s="74"/>
      <c r="J38" s="74"/>
    </row>
    <row r="39" spans="1:10">
      <c r="A39" s="73"/>
      <c r="B39" s="194"/>
      <c r="C39" s="214"/>
      <c r="D39" s="74"/>
      <c r="E39" s="74"/>
      <c r="F39" s="74"/>
      <c r="G39" s="74"/>
      <c r="H39" s="74"/>
      <c r="I39" s="74"/>
      <c r="J39" s="74"/>
    </row>
    <row r="40" spans="1:10">
      <c r="A40" s="73"/>
      <c r="B40" s="194"/>
      <c r="C40" s="214"/>
      <c r="D40" s="74"/>
      <c r="E40" s="74"/>
      <c r="F40" s="74"/>
      <c r="G40" s="74"/>
      <c r="H40" s="74"/>
      <c r="I40" s="74"/>
      <c r="J40" s="74"/>
    </row>
    <row r="41" spans="1:10">
      <c r="A41" s="73"/>
      <c r="B41" s="194"/>
      <c r="C41" s="214"/>
      <c r="D41" s="74"/>
      <c r="E41" s="74"/>
      <c r="F41" s="74"/>
      <c r="G41" s="74"/>
      <c r="H41" s="74"/>
      <c r="I41" s="74"/>
      <c r="J41" s="74"/>
    </row>
    <row r="42" spans="1:10">
      <c r="A42" s="73"/>
      <c r="B42" s="194"/>
      <c r="C42" s="214"/>
      <c r="D42" s="74"/>
      <c r="E42" s="74"/>
      <c r="F42" s="74"/>
      <c r="G42" s="74"/>
      <c r="H42" s="74"/>
      <c r="I42" s="74"/>
      <c r="J42" s="74"/>
    </row>
    <row r="43" spans="1:10">
      <c r="A43" s="75" t="s">
        <v>316</v>
      </c>
      <c r="B43" s="75"/>
      <c r="C43" s="91"/>
      <c r="D43" s="91">
        <f>SUM(D37:D42)</f>
        <v>120000</v>
      </c>
      <c r="E43" s="91">
        <f t="shared" ref="E43:J43" si="10">SUM(E37:E42)</f>
        <v>126000</v>
      </c>
      <c r="F43" s="91">
        <f t="shared" si="10"/>
        <v>132300</v>
      </c>
      <c r="G43" s="91">
        <f t="shared" si="10"/>
        <v>138915.00000000003</v>
      </c>
      <c r="H43" s="91">
        <f t="shared" si="10"/>
        <v>145860.75000000003</v>
      </c>
      <c r="I43" s="91">
        <f t="shared" si="10"/>
        <v>153153.78750000003</v>
      </c>
      <c r="J43" s="91">
        <f t="shared" si="10"/>
        <v>160811.47687500005</v>
      </c>
    </row>
    <row r="44" spans="1:10">
      <c r="A44" s="75"/>
      <c r="B44" s="75"/>
      <c r="C44" s="91"/>
      <c r="D44" s="91"/>
      <c r="E44" s="91"/>
      <c r="F44" s="91"/>
      <c r="G44" s="91"/>
      <c r="H44" s="91"/>
      <c r="I44" s="91"/>
      <c r="J44" s="91"/>
    </row>
    <row r="45" spans="1:10">
      <c r="A45" s="75" t="s">
        <v>130</v>
      </c>
      <c r="B45" s="75"/>
      <c r="C45" s="91"/>
      <c r="D45" s="91">
        <f>D34+D43</f>
        <v>539000</v>
      </c>
      <c r="E45" s="91">
        <f t="shared" ref="E45:J45" si="11">E34+E43</f>
        <v>565950</v>
      </c>
      <c r="F45" s="91">
        <f t="shared" si="11"/>
        <v>594247.5</v>
      </c>
      <c r="G45" s="91">
        <f t="shared" si="11"/>
        <v>623959.87500000012</v>
      </c>
      <c r="H45" s="91">
        <f t="shared" si="11"/>
        <v>655157.86875000002</v>
      </c>
      <c r="I45" s="91">
        <f t="shared" si="11"/>
        <v>687915.76218750025</v>
      </c>
      <c r="J45" s="91">
        <f t="shared" si="11"/>
        <v>722311.55029687518</v>
      </c>
    </row>
    <row r="46" spans="1:10">
      <c r="A46" s="73"/>
      <c r="B46" s="73"/>
      <c r="C46" s="74"/>
      <c r="D46" s="74"/>
      <c r="E46" s="74"/>
      <c r="F46" s="74"/>
      <c r="G46" s="74"/>
      <c r="H46" s="74"/>
      <c r="I46" s="74"/>
      <c r="J46" s="74"/>
    </row>
    <row r="47" spans="1:10">
      <c r="A47" s="75" t="s">
        <v>129</v>
      </c>
      <c r="B47" s="75"/>
      <c r="C47" s="91"/>
      <c r="D47" s="91">
        <f t="shared" ref="D47:J47" si="12">D23-D45</f>
        <v>613000</v>
      </c>
      <c r="E47" s="91">
        <f t="shared" si="12"/>
        <v>719250.00000000023</v>
      </c>
      <c r="F47" s="91">
        <f t="shared" si="12"/>
        <v>834592.50000000023</v>
      </c>
      <c r="G47" s="91">
        <f t="shared" si="12"/>
        <v>959671.12500000058</v>
      </c>
      <c r="H47" s="91">
        <f t="shared" si="12"/>
        <v>1095171.131250001</v>
      </c>
      <c r="I47" s="91">
        <f t="shared" si="12"/>
        <v>1149929.6878125009</v>
      </c>
      <c r="J47" s="91">
        <f t="shared" si="12"/>
        <v>1207426.1722031261</v>
      </c>
    </row>
    <row r="48" spans="1:10">
      <c r="A48" s="72"/>
      <c r="B48" s="72"/>
      <c r="C48" s="72"/>
      <c r="D48" s="72"/>
      <c r="E48" s="72"/>
      <c r="F48" s="72"/>
      <c r="G48" s="72"/>
      <c r="H48" s="72"/>
      <c r="I48" s="72"/>
      <c r="J48" s="72"/>
    </row>
    <row r="49" spans="1:10">
      <c r="A49" s="72"/>
    </row>
    <row r="51" spans="1:10">
      <c r="A51" s="406" t="s">
        <v>410</v>
      </c>
      <c r="B51" s="406"/>
      <c r="C51" s="406"/>
      <c r="D51" s="406"/>
      <c r="E51" s="406"/>
      <c r="F51" s="406"/>
      <c r="G51" s="406"/>
      <c r="H51" s="406"/>
      <c r="I51" s="406"/>
      <c r="J51" s="406"/>
    </row>
    <row r="53" spans="1:10">
      <c r="A53" t="s">
        <v>521</v>
      </c>
    </row>
    <row r="54" spans="1:10">
      <c r="A54">
        <v>1</v>
      </c>
      <c r="B54" t="s">
        <v>534</v>
      </c>
    </row>
    <row r="55" spans="1:10">
      <c r="A55">
        <v>2</v>
      </c>
      <c r="B55" t="s">
        <v>535</v>
      </c>
    </row>
    <row r="56" spans="1:10">
      <c r="A56">
        <v>3</v>
      </c>
      <c r="B56" s="72" t="s">
        <v>579</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4911-F9F0-4F47-8989-4DF8A2BC8779}">
  <dimension ref="A1"/>
  <sheetViews>
    <sheetView tabSelected="1" workbookViewId="0"/>
  </sheetViews>
  <sheetFormatPr defaultRowHeight="15"/>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4"/>
  <sheetViews>
    <sheetView view="pageBreakPreview" topLeftCell="A37" zoomScale="80" zoomScaleSheetLayoutView="80" workbookViewId="0">
      <selection activeCell="D50" sqref="C50:D50"/>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04" t="s">
        <v>571</v>
      </c>
      <c r="B3" s="404"/>
      <c r="C3" s="404"/>
      <c r="D3" s="404"/>
      <c r="E3" s="404"/>
      <c r="F3" s="404"/>
      <c r="G3" s="404"/>
      <c r="H3" s="404"/>
      <c r="I3" s="404"/>
      <c r="J3" s="404"/>
      <c r="K3" s="404"/>
      <c r="L3" s="404"/>
    </row>
    <row r="4" spans="1:13" ht="18.75">
      <c r="A4" s="404" t="s">
        <v>572</v>
      </c>
      <c r="B4" s="404"/>
      <c r="C4" s="404"/>
      <c r="D4" s="404"/>
      <c r="E4" s="404"/>
      <c r="F4" s="404"/>
      <c r="G4" s="404"/>
      <c r="H4" s="404"/>
      <c r="I4" s="404"/>
      <c r="J4" s="404"/>
      <c r="K4" s="404"/>
      <c r="L4" s="404"/>
    </row>
    <row r="5" spans="1:13">
      <c r="A5" s="72"/>
      <c r="B5" s="72"/>
      <c r="C5" s="72"/>
    </row>
    <row r="6" spans="1:13">
      <c r="A6" s="72"/>
      <c r="B6" s="72"/>
      <c r="C6" s="72"/>
    </row>
    <row r="7" spans="1:13" ht="45">
      <c r="A7" s="242" t="s">
        <v>145</v>
      </c>
      <c r="B7" s="243" t="s">
        <v>418</v>
      </c>
      <c r="C7" s="243" t="s">
        <v>424</v>
      </c>
      <c r="D7" s="243" t="s">
        <v>422</v>
      </c>
      <c r="E7" s="243" t="s">
        <v>423</v>
      </c>
      <c r="F7" s="243" t="s">
        <v>300</v>
      </c>
      <c r="G7" s="243" t="s">
        <v>425</v>
      </c>
      <c r="H7" s="243" t="s">
        <v>426</v>
      </c>
      <c r="I7" s="243" t="s">
        <v>427</v>
      </c>
      <c r="J7" s="245" t="s">
        <v>430</v>
      </c>
      <c r="K7" s="243" t="s">
        <v>428</v>
      </c>
      <c r="L7" s="245" t="s">
        <v>429</v>
      </c>
      <c r="M7" s="243" t="s">
        <v>432</v>
      </c>
    </row>
    <row r="8" spans="1:13">
      <c r="A8" s="244">
        <v>1</v>
      </c>
      <c r="B8" s="238" t="s">
        <v>692</v>
      </c>
      <c r="C8" s="238">
        <v>1</v>
      </c>
      <c r="D8" s="238"/>
      <c r="E8" s="238">
        <v>8</v>
      </c>
      <c r="F8" s="9">
        <f>D8*E8*C8</f>
        <v>0</v>
      </c>
      <c r="G8" s="238">
        <v>4</v>
      </c>
      <c r="H8" s="9">
        <f>F8/G8</f>
        <v>0</v>
      </c>
      <c r="I8" s="238">
        <v>12</v>
      </c>
      <c r="J8" s="9">
        <f>H8*I8</f>
        <v>0</v>
      </c>
      <c r="K8" s="238">
        <v>3000</v>
      </c>
      <c r="L8" s="238">
        <v>1</v>
      </c>
      <c r="M8" s="9">
        <f t="shared" ref="M8:M16" si="0">D8*L8</f>
        <v>0</v>
      </c>
    </row>
    <row r="9" spans="1:13">
      <c r="A9" s="244">
        <v>2</v>
      </c>
      <c r="B9" s="238" t="s">
        <v>419</v>
      </c>
      <c r="C9" s="238">
        <v>1</v>
      </c>
      <c r="D9" s="238"/>
      <c r="E9" s="238">
        <v>8</v>
      </c>
      <c r="F9" s="9">
        <f t="shared" ref="F9:F16" si="1">D9*E9*C9</f>
        <v>0</v>
      </c>
      <c r="G9" s="238">
        <v>2</v>
      </c>
      <c r="H9" s="9">
        <f>F9/G9</f>
        <v>0</v>
      </c>
      <c r="I9" s="238">
        <v>8</v>
      </c>
      <c r="J9" s="9">
        <f t="shared" ref="J9:J16" si="2">H9*I9</f>
        <v>0</v>
      </c>
      <c r="K9" s="238">
        <v>1800</v>
      </c>
      <c r="L9" s="238">
        <v>1</v>
      </c>
      <c r="M9" s="9">
        <f t="shared" si="0"/>
        <v>0</v>
      </c>
    </row>
    <row r="10" spans="1:13">
      <c r="A10" s="244">
        <v>3</v>
      </c>
      <c r="B10" s="238" t="s">
        <v>420</v>
      </c>
      <c r="C10" s="238">
        <v>1</v>
      </c>
      <c r="D10" s="238"/>
      <c r="E10" s="238">
        <v>8</v>
      </c>
      <c r="F10" s="9">
        <f t="shared" si="1"/>
        <v>0</v>
      </c>
      <c r="G10" s="238">
        <v>2</v>
      </c>
      <c r="H10" s="9">
        <f>F10/G10</f>
        <v>0</v>
      </c>
      <c r="I10" s="238">
        <v>8</v>
      </c>
      <c r="J10" s="9">
        <f t="shared" si="2"/>
        <v>0</v>
      </c>
      <c r="K10" s="238">
        <v>1800</v>
      </c>
      <c r="L10" s="238">
        <v>1</v>
      </c>
      <c r="M10" s="9">
        <f t="shared" si="0"/>
        <v>0</v>
      </c>
    </row>
    <row r="11" spans="1:13">
      <c r="A11" s="244">
        <v>5</v>
      </c>
      <c r="B11" s="238" t="s">
        <v>421</v>
      </c>
      <c r="C11" s="238">
        <v>1</v>
      </c>
      <c r="D11" s="238"/>
      <c r="E11" s="238">
        <v>8</v>
      </c>
      <c r="F11" s="9">
        <f t="shared" si="1"/>
        <v>0</v>
      </c>
      <c r="G11" s="238">
        <v>2</v>
      </c>
      <c r="H11" s="9">
        <f>F11/G11</f>
        <v>0</v>
      </c>
      <c r="I11" s="238">
        <v>10</v>
      </c>
      <c r="J11" s="9">
        <f t="shared" si="2"/>
        <v>0</v>
      </c>
      <c r="K11" s="238">
        <v>1500</v>
      </c>
      <c r="L11" s="238">
        <v>1</v>
      </c>
      <c r="M11" s="9">
        <f t="shared" si="0"/>
        <v>0</v>
      </c>
    </row>
    <row r="12" spans="1:13">
      <c r="A12" s="244">
        <v>6</v>
      </c>
      <c r="B12" s="9" t="e">
        <f>'2.Capex Details'!#REF!</f>
        <v>#REF!</v>
      </c>
      <c r="C12" s="238">
        <v>1</v>
      </c>
      <c r="D12" s="238"/>
      <c r="E12" s="238">
        <v>8</v>
      </c>
      <c r="F12" s="9">
        <f t="shared" si="1"/>
        <v>0</v>
      </c>
      <c r="G12" s="238">
        <v>2</v>
      </c>
      <c r="H12" s="9">
        <f t="shared" ref="H12:H16" si="3">F12/G12</f>
        <v>0</v>
      </c>
      <c r="I12" s="238">
        <v>7</v>
      </c>
      <c r="J12" s="9">
        <f t="shared" si="2"/>
        <v>0</v>
      </c>
      <c r="K12" s="238">
        <v>800</v>
      </c>
      <c r="L12" s="238">
        <v>1</v>
      </c>
      <c r="M12" s="9">
        <f t="shared" si="0"/>
        <v>0</v>
      </c>
    </row>
    <row r="13" spans="1:13">
      <c r="A13" s="244">
        <v>7</v>
      </c>
      <c r="B13" s="9" t="e">
        <f>Sheet1!#REF!</f>
        <v>#REF!</v>
      </c>
      <c r="C13" s="238">
        <v>1</v>
      </c>
      <c r="D13" s="238"/>
      <c r="E13" s="238">
        <v>8</v>
      </c>
      <c r="F13" s="9">
        <f t="shared" si="1"/>
        <v>0</v>
      </c>
      <c r="G13" s="238">
        <v>3</v>
      </c>
      <c r="H13" s="9">
        <f t="shared" si="3"/>
        <v>0</v>
      </c>
      <c r="I13" s="238">
        <v>10</v>
      </c>
      <c r="J13" s="9">
        <f t="shared" si="2"/>
        <v>0</v>
      </c>
      <c r="K13" s="238">
        <v>1000</v>
      </c>
      <c r="L13" s="238">
        <v>1</v>
      </c>
      <c r="M13" s="9">
        <f t="shared" si="0"/>
        <v>0</v>
      </c>
    </row>
    <row r="14" spans="1:13">
      <c r="A14" s="244">
        <v>8</v>
      </c>
      <c r="B14" s="9" t="e">
        <f>'2.Capex Details'!#REF!</f>
        <v>#REF!</v>
      </c>
      <c r="C14" s="238">
        <v>1</v>
      </c>
      <c r="D14" s="238"/>
      <c r="E14" s="238">
        <v>8</v>
      </c>
      <c r="F14" s="9">
        <f t="shared" si="1"/>
        <v>0</v>
      </c>
      <c r="G14" s="238">
        <v>3</v>
      </c>
      <c r="H14" s="9">
        <f t="shared" si="3"/>
        <v>0</v>
      </c>
      <c r="I14" s="238">
        <v>10</v>
      </c>
      <c r="J14" s="9">
        <f t="shared" si="2"/>
        <v>0</v>
      </c>
      <c r="K14" s="238">
        <v>1200</v>
      </c>
      <c r="L14" s="238">
        <v>1</v>
      </c>
      <c r="M14" s="9">
        <f t="shared" si="0"/>
        <v>0</v>
      </c>
    </row>
    <row r="15" spans="1:13">
      <c r="A15" s="244">
        <v>9</v>
      </c>
      <c r="B15" s="9" t="e">
        <f>'2.Capex Details'!#REF!</f>
        <v>#REF!</v>
      </c>
      <c r="C15" s="238">
        <v>1</v>
      </c>
      <c r="D15" s="238"/>
      <c r="E15" s="238">
        <v>8</v>
      </c>
      <c r="F15" s="9">
        <f t="shared" si="1"/>
        <v>0</v>
      </c>
      <c r="G15" s="238">
        <v>3</v>
      </c>
      <c r="H15" s="9">
        <f t="shared" si="3"/>
        <v>0</v>
      </c>
      <c r="I15" s="238">
        <v>8</v>
      </c>
      <c r="J15" s="9">
        <f t="shared" si="2"/>
        <v>0</v>
      </c>
      <c r="K15" s="238">
        <v>1000</v>
      </c>
      <c r="L15" s="238">
        <v>1</v>
      </c>
      <c r="M15" s="9">
        <f t="shared" si="0"/>
        <v>0</v>
      </c>
    </row>
    <row r="16" spans="1:13">
      <c r="A16" s="244">
        <v>10</v>
      </c>
      <c r="B16" s="9" t="str">
        <f>'2.Capex Details'!C26</f>
        <v>BUCKET ELEVATOR TO FEED MAGNETIC SEPARATOR</v>
      </c>
      <c r="C16" s="238">
        <v>1</v>
      </c>
      <c r="D16" s="238"/>
      <c r="E16" s="238">
        <v>8</v>
      </c>
      <c r="F16" s="9">
        <f t="shared" si="1"/>
        <v>0</v>
      </c>
      <c r="G16" s="238">
        <v>4</v>
      </c>
      <c r="H16" s="9">
        <f t="shared" si="3"/>
        <v>0</v>
      </c>
      <c r="I16" s="238">
        <v>6</v>
      </c>
      <c r="J16" s="9">
        <f t="shared" si="2"/>
        <v>0</v>
      </c>
      <c r="K16" s="238">
        <v>800</v>
      </c>
      <c r="L16" s="238">
        <v>1</v>
      </c>
      <c r="M16" s="9">
        <f t="shared" si="0"/>
        <v>0</v>
      </c>
    </row>
    <row r="17" spans="1:16">
      <c r="A17" s="13"/>
      <c r="B17" s="13"/>
    </row>
    <row r="18" spans="1:16">
      <c r="A18" s="13"/>
      <c r="B18" s="13"/>
    </row>
    <row r="20" spans="1:16" ht="18.75">
      <c r="A20" s="404" t="s">
        <v>573</v>
      </c>
      <c r="B20" s="404"/>
      <c r="C20" s="404"/>
      <c r="D20" s="404"/>
      <c r="E20" s="404"/>
      <c r="F20" s="404"/>
      <c r="G20" s="404"/>
      <c r="H20" s="404"/>
      <c r="I20" s="404"/>
      <c r="J20" s="404"/>
      <c r="K20" s="404"/>
    </row>
    <row r="22" spans="1:16">
      <c r="A22" s="72"/>
      <c r="B22" s="72"/>
      <c r="C22" s="72"/>
      <c r="D22" s="72"/>
      <c r="E22" s="154">
        <v>1</v>
      </c>
      <c r="F22" s="152">
        <f>(E22*5%)+E22</f>
        <v>1.05</v>
      </c>
      <c r="G22" s="152">
        <f t="shared" ref="G22:K22" si="4">(F22*5%)+F22</f>
        <v>1.1025</v>
      </c>
      <c r="H22" s="152">
        <f t="shared" si="4"/>
        <v>1.1576250000000001</v>
      </c>
      <c r="I22" s="152">
        <f t="shared" si="4"/>
        <v>1.2155062500000002</v>
      </c>
      <c r="J22" s="152">
        <f t="shared" si="4"/>
        <v>1.2762815625000004</v>
      </c>
      <c r="K22" s="152">
        <f t="shared" si="4"/>
        <v>1.3400956406250004</v>
      </c>
    </row>
    <row r="23" spans="1:16">
      <c r="A23" s="124" t="s">
        <v>0</v>
      </c>
      <c r="B23" s="124" t="s">
        <v>133</v>
      </c>
      <c r="C23" s="124" t="s">
        <v>146</v>
      </c>
      <c r="D23" s="124" t="s">
        <v>152</v>
      </c>
      <c r="E23" s="96" t="s">
        <v>2</v>
      </c>
      <c r="F23" s="96" t="s">
        <v>3</v>
      </c>
      <c r="G23" s="96" t="s">
        <v>4</v>
      </c>
      <c r="H23" s="96" t="s">
        <v>5</v>
      </c>
      <c r="I23" s="96" t="s">
        <v>6</v>
      </c>
      <c r="J23" s="96" t="s">
        <v>168</v>
      </c>
      <c r="K23" s="96" t="s">
        <v>167</v>
      </c>
    </row>
    <row r="24" spans="1:16">
      <c r="A24" s="75"/>
      <c r="B24" s="75"/>
      <c r="C24" s="75"/>
      <c r="D24" s="75"/>
      <c r="E24" s="73"/>
      <c r="F24" s="73"/>
      <c r="G24" s="73"/>
      <c r="H24" s="73"/>
      <c r="I24" s="73"/>
      <c r="J24" s="73"/>
      <c r="K24" s="73"/>
    </row>
    <row r="25" spans="1:16">
      <c r="A25" s="75" t="s">
        <v>127</v>
      </c>
      <c r="B25" s="75"/>
      <c r="C25" s="75"/>
      <c r="D25" s="75"/>
      <c r="E25" s="73"/>
      <c r="F25" s="73"/>
      <c r="G25" s="73"/>
      <c r="H25" s="73"/>
      <c r="I25" s="73"/>
      <c r="J25" s="73"/>
      <c r="K25" s="73"/>
      <c r="P25" s="72"/>
    </row>
    <row r="26" spans="1:16">
      <c r="A26" s="166" t="s">
        <v>434</v>
      </c>
      <c r="B26" s="85"/>
      <c r="C26" s="85"/>
      <c r="D26" s="85"/>
      <c r="E26" s="74"/>
      <c r="F26" s="74"/>
      <c r="G26" s="74"/>
      <c r="H26" s="74"/>
      <c r="I26" s="74"/>
      <c r="J26" s="74"/>
      <c r="K26" s="74"/>
      <c r="P26" s="72"/>
    </row>
    <row r="27" spans="1:16">
      <c r="A27" s="85" t="str">
        <f>B8</f>
        <v>Combine Harvestor</v>
      </c>
      <c r="B27" s="85" t="s">
        <v>675</v>
      </c>
      <c r="C27" s="85">
        <f t="shared" ref="C27:C36" si="5">H8</f>
        <v>0</v>
      </c>
      <c r="D27" s="85">
        <f t="shared" ref="D27:D36" si="6">K8</f>
        <v>3000</v>
      </c>
      <c r="E27" s="74">
        <f>$C$27*$D$27*E22</f>
        <v>0</v>
      </c>
      <c r="F27" s="74">
        <f t="shared" ref="F27:K27" si="7">$C$27*$D$27*F22</f>
        <v>0</v>
      </c>
      <c r="G27" s="74">
        <f t="shared" si="7"/>
        <v>0</v>
      </c>
      <c r="H27" s="74">
        <f t="shared" si="7"/>
        <v>0</v>
      </c>
      <c r="I27" s="74">
        <f t="shared" si="7"/>
        <v>0</v>
      </c>
      <c r="J27" s="74">
        <f t="shared" si="7"/>
        <v>0</v>
      </c>
      <c r="K27" s="74">
        <f t="shared" si="7"/>
        <v>0</v>
      </c>
      <c r="P27" s="72"/>
    </row>
    <row r="28" spans="1:16">
      <c r="A28" s="85" t="str">
        <f>B9</f>
        <v>Cultivator</v>
      </c>
      <c r="B28" s="85" t="s">
        <v>675</v>
      </c>
      <c r="C28" s="85">
        <f t="shared" si="5"/>
        <v>0</v>
      </c>
      <c r="D28" s="85">
        <f t="shared" si="6"/>
        <v>1800</v>
      </c>
      <c r="E28" s="74">
        <f>$C$28*$D$28*E22</f>
        <v>0</v>
      </c>
      <c r="F28" s="74">
        <f t="shared" ref="F28:K28" si="8">$C$28*$D$28*F22</f>
        <v>0</v>
      </c>
      <c r="G28" s="74">
        <f t="shared" si="8"/>
        <v>0</v>
      </c>
      <c r="H28" s="74">
        <f t="shared" si="8"/>
        <v>0</v>
      </c>
      <c r="I28" s="74">
        <f t="shared" si="8"/>
        <v>0</v>
      </c>
      <c r="J28" s="74">
        <f t="shared" si="8"/>
        <v>0</v>
      </c>
      <c r="K28" s="74">
        <f t="shared" si="8"/>
        <v>0</v>
      </c>
      <c r="P28" s="72"/>
    </row>
    <row r="29" spans="1:16">
      <c r="A29" s="85" t="str">
        <f>B10</f>
        <v>Rotavator</v>
      </c>
      <c r="B29" s="85" t="s">
        <v>675</v>
      </c>
      <c r="C29" s="85">
        <f t="shared" si="5"/>
        <v>0</v>
      </c>
      <c r="D29" s="85">
        <f t="shared" si="6"/>
        <v>1800</v>
      </c>
      <c r="E29" s="74">
        <f>$C$29*$D$29*E22</f>
        <v>0</v>
      </c>
      <c r="F29" s="74">
        <f t="shared" ref="F29:K29" si="9">$C$29*$D$29*F22</f>
        <v>0</v>
      </c>
      <c r="G29" s="74">
        <f t="shared" si="9"/>
        <v>0</v>
      </c>
      <c r="H29" s="74">
        <f t="shared" si="9"/>
        <v>0</v>
      </c>
      <c r="I29" s="74">
        <f t="shared" si="9"/>
        <v>0</v>
      </c>
      <c r="J29" s="74">
        <f t="shared" si="9"/>
        <v>0</v>
      </c>
      <c r="K29" s="74">
        <f t="shared" si="9"/>
        <v>0</v>
      </c>
      <c r="P29" s="72"/>
    </row>
    <row r="30" spans="1:16">
      <c r="A30" s="85" t="str">
        <f>B11</f>
        <v>Mobile Threshing</v>
      </c>
      <c r="B30" s="85" t="s">
        <v>675</v>
      </c>
      <c r="C30" s="85">
        <f t="shared" si="5"/>
        <v>0</v>
      </c>
      <c r="D30" s="85">
        <f t="shared" si="6"/>
        <v>1500</v>
      </c>
      <c r="E30" s="74">
        <f t="shared" ref="E30:K30" si="10">$C$30*$D$30*E22</f>
        <v>0</v>
      </c>
      <c r="F30" s="74">
        <f t="shared" si="10"/>
        <v>0</v>
      </c>
      <c r="G30" s="74">
        <f t="shared" si="10"/>
        <v>0</v>
      </c>
      <c r="H30" s="74">
        <f t="shared" si="10"/>
        <v>0</v>
      </c>
      <c r="I30" s="74">
        <f t="shared" si="10"/>
        <v>0</v>
      </c>
      <c r="J30" s="74">
        <f t="shared" si="10"/>
        <v>0</v>
      </c>
      <c r="K30" s="74">
        <f t="shared" si="10"/>
        <v>0</v>
      </c>
      <c r="P30" s="72"/>
    </row>
    <row r="31" spans="1:16">
      <c r="A31" s="85" t="e">
        <f t="shared" ref="A31:A36" si="11">B12</f>
        <v>#REF!</v>
      </c>
      <c r="B31" s="85" t="s">
        <v>675</v>
      </c>
      <c r="C31" s="85">
        <f t="shared" si="5"/>
        <v>0</v>
      </c>
      <c r="D31" s="85">
        <f t="shared" si="6"/>
        <v>800</v>
      </c>
      <c r="E31" s="74">
        <f t="shared" ref="E31:K31" si="12">$C$31*$D$31*E22</f>
        <v>0</v>
      </c>
      <c r="F31" s="74">
        <f t="shared" si="12"/>
        <v>0</v>
      </c>
      <c r="G31" s="74">
        <f t="shared" si="12"/>
        <v>0</v>
      </c>
      <c r="H31" s="74">
        <f t="shared" si="12"/>
        <v>0</v>
      </c>
      <c r="I31" s="74">
        <f t="shared" si="12"/>
        <v>0</v>
      </c>
      <c r="J31" s="74">
        <f t="shared" si="12"/>
        <v>0</v>
      </c>
      <c r="K31" s="74">
        <f t="shared" si="12"/>
        <v>0</v>
      </c>
      <c r="P31" s="72"/>
    </row>
    <row r="32" spans="1:16">
      <c r="A32" s="85" t="e">
        <f t="shared" si="11"/>
        <v>#REF!</v>
      </c>
      <c r="B32" s="85" t="s">
        <v>675</v>
      </c>
      <c r="C32" s="85">
        <f t="shared" si="5"/>
        <v>0</v>
      </c>
      <c r="D32" s="85">
        <f t="shared" si="6"/>
        <v>1000</v>
      </c>
      <c r="E32" s="74">
        <f t="shared" ref="E32:K32" si="13">$C$32*$D$32*E22</f>
        <v>0</v>
      </c>
      <c r="F32" s="74">
        <f t="shared" si="13"/>
        <v>0</v>
      </c>
      <c r="G32" s="74">
        <f t="shared" si="13"/>
        <v>0</v>
      </c>
      <c r="H32" s="74">
        <f t="shared" si="13"/>
        <v>0</v>
      </c>
      <c r="I32" s="74">
        <f t="shared" si="13"/>
        <v>0</v>
      </c>
      <c r="J32" s="74">
        <f t="shared" si="13"/>
        <v>0</v>
      </c>
      <c r="K32" s="74">
        <f t="shared" si="13"/>
        <v>0</v>
      </c>
      <c r="P32" s="72"/>
    </row>
    <row r="33" spans="1:16">
      <c r="A33" s="85" t="e">
        <f t="shared" si="11"/>
        <v>#REF!</v>
      </c>
      <c r="B33" s="85" t="s">
        <v>675</v>
      </c>
      <c r="C33" s="85">
        <f t="shared" si="5"/>
        <v>0</v>
      </c>
      <c r="D33" s="85">
        <f t="shared" si="6"/>
        <v>1200</v>
      </c>
      <c r="E33" s="74">
        <f t="shared" ref="E33:K33" si="14">$C$33*$D$33*E22</f>
        <v>0</v>
      </c>
      <c r="F33" s="74">
        <f t="shared" si="14"/>
        <v>0</v>
      </c>
      <c r="G33" s="74">
        <f t="shared" si="14"/>
        <v>0</v>
      </c>
      <c r="H33" s="74">
        <f t="shared" si="14"/>
        <v>0</v>
      </c>
      <c r="I33" s="74">
        <f t="shared" si="14"/>
        <v>0</v>
      </c>
      <c r="J33" s="74">
        <f t="shared" si="14"/>
        <v>0</v>
      </c>
      <c r="K33" s="74">
        <f t="shared" si="14"/>
        <v>0</v>
      </c>
      <c r="P33" s="72"/>
    </row>
    <row r="34" spans="1:16">
      <c r="A34" s="85" t="e">
        <f t="shared" si="11"/>
        <v>#REF!</v>
      </c>
      <c r="B34" s="85" t="s">
        <v>675</v>
      </c>
      <c r="C34" s="85">
        <f t="shared" si="5"/>
        <v>0</v>
      </c>
      <c r="D34" s="85">
        <f t="shared" si="6"/>
        <v>1000</v>
      </c>
      <c r="E34" s="74">
        <f t="shared" ref="E34:K34" si="15">$C$34*$D$34*E22</f>
        <v>0</v>
      </c>
      <c r="F34" s="74">
        <f t="shared" si="15"/>
        <v>0</v>
      </c>
      <c r="G34" s="74">
        <f t="shared" si="15"/>
        <v>0</v>
      </c>
      <c r="H34" s="74">
        <f t="shared" si="15"/>
        <v>0</v>
      </c>
      <c r="I34" s="74">
        <f t="shared" si="15"/>
        <v>0</v>
      </c>
      <c r="J34" s="74">
        <f t="shared" si="15"/>
        <v>0</v>
      </c>
      <c r="K34" s="74">
        <f t="shared" si="15"/>
        <v>0</v>
      </c>
      <c r="P34" s="72"/>
    </row>
    <row r="35" spans="1:16" ht="45">
      <c r="A35" s="85" t="str">
        <f t="shared" si="11"/>
        <v>BUCKET ELEVATOR TO FEED MAGNETIC SEPARATOR</v>
      </c>
      <c r="B35" s="85" t="s">
        <v>675</v>
      </c>
      <c r="C35" s="85">
        <f t="shared" si="5"/>
        <v>0</v>
      </c>
      <c r="D35" s="85">
        <f t="shared" si="6"/>
        <v>800</v>
      </c>
      <c r="E35" s="74">
        <f t="shared" ref="E35:K35" si="16">$C$35*$D$35*E22</f>
        <v>0</v>
      </c>
      <c r="F35" s="74">
        <f t="shared" si="16"/>
        <v>0</v>
      </c>
      <c r="G35" s="74">
        <f t="shared" si="16"/>
        <v>0</v>
      </c>
      <c r="H35" s="74">
        <f t="shared" si="16"/>
        <v>0</v>
      </c>
      <c r="I35" s="74">
        <f t="shared" si="16"/>
        <v>0</v>
      </c>
      <c r="J35" s="74">
        <f t="shared" si="16"/>
        <v>0</v>
      </c>
      <c r="K35" s="74">
        <f t="shared" si="16"/>
        <v>0</v>
      </c>
      <c r="P35" s="72"/>
    </row>
    <row r="36" spans="1:16">
      <c r="A36" s="85">
        <f t="shared" si="11"/>
        <v>0</v>
      </c>
      <c r="B36" s="75"/>
      <c r="C36" s="85">
        <f t="shared" si="5"/>
        <v>0</v>
      </c>
      <c r="D36" s="85">
        <f t="shared" si="6"/>
        <v>0</v>
      </c>
      <c r="E36" s="74">
        <f t="shared" ref="E36:K36" si="17">$C$36*$D$36*E22</f>
        <v>0</v>
      </c>
      <c r="F36" s="74">
        <f t="shared" si="17"/>
        <v>0</v>
      </c>
      <c r="G36" s="74">
        <f t="shared" si="17"/>
        <v>0</v>
      </c>
      <c r="H36" s="74">
        <f t="shared" si="17"/>
        <v>0</v>
      </c>
      <c r="I36" s="74">
        <f t="shared" si="17"/>
        <v>0</v>
      </c>
      <c r="J36" s="74">
        <f t="shared" si="17"/>
        <v>0</v>
      </c>
      <c r="K36" s="74">
        <f t="shared" si="17"/>
        <v>0</v>
      </c>
      <c r="P36" s="72"/>
    </row>
    <row r="37" spans="1:16">
      <c r="A37" s="75" t="s">
        <v>143</v>
      </c>
      <c r="B37" s="75"/>
      <c r="C37" s="75"/>
      <c r="D37" s="75"/>
      <c r="E37" s="74">
        <f t="shared" ref="E37:K37" si="18">SUM(E27:E36)</f>
        <v>0</v>
      </c>
      <c r="F37" s="74">
        <f t="shared" si="18"/>
        <v>0</v>
      </c>
      <c r="G37" s="74">
        <f t="shared" si="18"/>
        <v>0</v>
      </c>
      <c r="H37" s="74">
        <f t="shared" si="18"/>
        <v>0</v>
      </c>
      <c r="I37" s="74">
        <f t="shared" si="18"/>
        <v>0</v>
      </c>
      <c r="J37" s="74">
        <f t="shared" si="18"/>
        <v>0</v>
      </c>
      <c r="K37" s="74">
        <f t="shared" si="18"/>
        <v>0</v>
      </c>
      <c r="P37" s="72"/>
    </row>
    <row r="38" spans="1:16">
      <c r="A38" s="73"/>
      <c r="B38" s="73"/>
      <c r="C38" s="73"/>
      <c r="D38" s="73"/>
      <c r="E38" s="74"/>
      <c r="F38" s="74"/>
      <c r="G38" s="74"/>
      <c r="H38" s="74"/>
      <c r="I38" s="74"/>
      <c r="J38" s="74"/>
      <c r="K38" s="74"/>
      <c r="P38" s="72"/>
    </row>
    <row r="39" spans="1:16">
      <c r="A39" s="75" t="s">
        <v>142</v>
      </c>
      <c r="B39" s="75"/>
      <c r="C39" s="75"/>
      <c r="D39" s="75"/>
      <c r="E39" s="74"/>
      <c r="F39" s="74"/>
      <c r="G39" s="74"/>
      <c r="H39" s="74"/>
      <c r="I39" s="74"/>
      <c r="J39" s="74"/>
      <c r="K39" s="74"/>
      <c r="P39" s="72"/>
    </row>
    <row r="40" spans="1:16">
      <c r="A40" s="75" t="s">
        <v>301</v>
      </c>
      <c r="B40" s="75"/>
      <c r="C40" s="75"/>
      <c r="D40" s="75"/>
      <c r="E40" s="74"/>
      <c r="F40" s="74"/>
      <c r="G40" s="74"/>
      <c r="H40" s="74"/>
      <c r="I40" s="74"/>
      <c r="J40" s="74"/>
      <c r="K40" s="74"/>
    </row>
    <row r="41" spans="1:16">
      <c r="A41" s="73" t="s">
        <v>302</v>
      </c>
      <c r="B41" s="73" t="s">
        <v>431</v>
      </c>
      <c r="C41" s="73">
        <f>SUM(J8:J16)</f>
        <v>0</v>
      </c>
      <c r="D41" s="194">
        <v>100</v>
      </c>
      <c r="E41" s="74">
        <f t="shared" ref="E41:K41" si="19">$C$41*$D$41*E22</f>
        <v>0</v>
      </c>
      <c r="F41" s="74">
        <f t="shared" si="19"/>
        <v>0</v>
      </c>
      <c r="G41" s="74">
        <f t="shared" si="19"/>
        <v>0</v>
      </c>
      <c r="H41" s="74">
        <f t="shared" si="19"/>
        <v>0</v>
      </c>
      <c r="I41" s="74">
        <f t="shared" si="19"/>
        <v>0</v>
      </c>
      <c r="J41" s="74">
        <f t="shared" si="19"/>
        <v>0</v>
      </c>
      <c r="K41" s="74">
        <f t="shared" si="19"/>
        <v>0</v>
      </c>
    </row>
    <row r="42" spans="1:16">
      <c r="A42" s="73" t="s">
        <v>303</v>
      </c>
      <c r="B42" s="73" t="s">
        <v>433</v>
      </c>
      <c r="C42" s="73">
        <f>SUM(M8:M16)</f>
        <v>0</v>
      </c>
      <c r="D42" s="194">
        <v>300</v>
      </c>
      <c r="E42" s="74">
        <f t="shared" ref="E42:K42" si="20">$C$42*$D$42*E22</f>
        <v>0</v>
      </c>
      <c r="F42" s="74">
        <f t="shared" si="20"/>
        <v>0</v>
      </c>
      <c r="G42" s="74">
        <f t="shared" si="20"/>
        <v>0</v>
      </c>
      <c r="H42" s="74">
        <f t="shared" si="20"/>
        <v>0</v>
      </c>
      <c r="I42" s="74">
        <f t="shared" si="20"/>
        <v>0</v>
      </c>
      <c r="J42" s="74">
        <f t="shared" si="20"/>
        <v>0</v>
      </c>
      <c r="K42" s="74">
        <f t="shared" si="20"/>
        <v>0</v>
      </c>
    </row>
    <row r="43" spans="1:16">
      <c r="A43" s="73"/>
      <c r="B43" s="73"/>
      <c r="C43" s="194"/>
      <c r="D43" s="194"/>
      <c r="E43" s="74"/>
      <c r="F43" s="74"/>
      <c r="G43" s="74"/>
      <c r="H43" s="74"/>
      <c r="I43" s="74"/>
      <c r="J43" s="74"/>
      <c r="K43" s="74"/>
    </row>
    <row r="44" spans="1:16">
      <c r="A44" s="73"/>
      <c r="B44" s="73"/>
      <c r="C44" s="194"/>
      <c r="D44" s="194"/>
      <c r="E44" s="74"/>
      <c r="F44" s="74"/>
      <c r="G44" s="74"/>
      <c r="H44" s="74"/>
      <c r="I44" s="74"/>
      <c r="J44" s="74"/>
      <c r="K44" s="74"/>
    </row>
    <row r="45" spans="1:16">
      <c r="A45" s="73"/>
      <c r="B45" s="73"/>
      <c r="C45" s="194"/>
      <c r="D45" s="194"/>
      <c r="E45" s="74"/>
      <c r="F45" s="74"/>
      <c r="G45" s="74"/>
      <c r="H45" s="74"/>
      <c r="I45" s="74"/>
      <c r="J45" s="74"/>
      <c r="K45" s="74"/>
    </row>
    <row r="46" spans="1:16">
      <c r="A46" s="73"/>
      <c r="B46" s="73"/>
      <c r="C46" s="194"/>
      <c r="D46" s="194"/>
      <c r="E46" s="74"/>
      <c r="F46" s="74"/>
      <c r="G46" s="74"/>
      <c r="H46" s="74"/>
      <c r="I46" s="74"/>
      <c r="J46" s="74"/>
      <c r="K46" s="74"/>
    </row>
    <row r="47" spans="1:16">
      <c r="A47" s="75" t="s">
        <v>312</v>
      </c>
      <c r="B47" s="75"/>
      <c r="C47" s="197"/>
      <c r="D47" s="197"/>
      <c r="E47" s="91">
        <f>SUM(E41:E46)</f>
        <v>0</v>
      </c>
      <c r="F47" s="91">
        <f t="shared" ref="F47:K47" si="21">SUM(F41:F46)</f>
        <v>0</v>
      </c>
      <c r="G47" s="91">
        <f t="shared" si="21"/>
        <v>0</v>
      </c>
      <c r="H47" s="91">
        <f t="shared" si="21"/>
        <v>0</v>
      </c>
      <c r="I47" s="91">
        <f t="shared" si="21"/>
        <v>0</v>
      </c>
      <c r="J47" s="91">
        <f t="shared" si="21"/>
        <v>0</v>
      </c>
      <c r="K47" s="91">
        <f t="shared" si="21"/>
        <v>0</v>
      </c>
    </row>
    <row r="48" spans="1:16">
      <c r="A48" s="75"/>
      <c r="B48" s="75"/>
      <c r="C48" s="197"/>
      <c r="D48" s="197"/>
      <c r="E48" s="91"/>
      <c r="F48" s="91"/>
      <c r="G48" s="91"/>
      <c r="H48" s="91"/>
      <c r="I48" s="91"/>
      <c r="J48" s="91"/>
      <c r="K48" s="91"/>
    </row>
    <row r="49" spans="1:12">
      <c r="A49" s="166" t="s">
        <v>304</v>
      </c>
      <c r="B49" s="166"/>
      <c r="C49" s="216"/>
      <c r="D49" s="216"/>
      <c r="E49" s="74"/>
      <c r="F49" s="74"/>
      <c r="G49" s="74"/>
      <c r="H49" s="74"/>
      <c r="I49" s="74"/>
      <c r="J49" s="74"/>
      <c r="K49" s="74"/>
    </row>
    <row r="50" spans="1:12">
      <c r="A50" s="85" t="s">
        <v>696</v>
      </c>
      <c r="B50" s="73" t="s">
        <v>377</v>
      </c>
      <c r="C50" s="216"/>
      <c r="D50" s="217"/>
      <c r="E50" s="74">
        <f t="shared" ref="E50:K50" si="22">$C50*$D50*12*E$22</f>
        <v>0</v>
      </c>
      <c r="F50" s="74">
        <f t="shared" si="22"/>
        <v>0</v>
      </c>
      <c r="G50" s="74">
        <f t="shared" si="22"/>
        <v>0</v>
      </c>
      <c r="H50" s="74">
        <f t="shared" si="22"/>
        <v>0</v>
      </c>
      <c r="I50" s="74">
        <f t="shared" si="22"/>
        <v>0</v>
      </c>
      <c r="J50" s="74">
        <f t="shared" si="22"/>
        <v>0</v>
      </c>
      <c r="K50" s="74">
        <f t="shared" si="22"/>
        <v>0</v>
      </c>
    </row>
    <row r="51" spans="1:12">
      <c r="A51" s="85"/>
      <c r="B51" s="85"/>
      <c r="C51" s="216"/>
      <c r="D51" s="217"/>
      <c r="E51" s="74"/>
      <c r="F51" s="74"/>
      <c r="G51" s="74"/>
      <c r="H51" s="74"/>
      <c r="I51" s="74"/>
      <c r="J51" s="74"/>
      <c r="K51" s="74"/>
    </row>
    <row r="52" spans="1:12">
      <c r="A52" s="75" t="s">
        <v>316</v>
      </c>
      <c r="B52" s="75"/>
      <c r="C52" s="75"/>
      <c r="D52" s="75"/>
      <c r="E52" s="91">
        <f t="shared" ref="E52:K52" si="23">SUM(E50:E51)</f>
        <v>0</v>
      </c>
      <c r="F52" s="91">
        <f t="shared" si="23"/>
        <v>0</v>
      </c>
      <c r="G52" s="91">
        <f t="shared" si="23"/>
        <v>0</v>
      </c>
      <c r="H52" s="91">
        <f t="shared" si="23"/>
        <v>0</v>
      </c>
      <c r="I52" s="91">
        <f t="shared" si="23"/>
        <v>0</v>
      </c>
      <c r="J52" s="91">
        <f t="shared" si="23"/>
        <v>0</v>
      </c>
      <c r="K52" s="91">
        <f t="shared" si="23"/>
        <v>0</v>
      </c>
    </row>
    <row r="53" spans="1:12">
      <c r="A53" s="75" t="s">
        <v>130</v>
      </c>
      <c r="B53" s="75"/>
      <c r="C53" s="75"/>
      <c r="D53" s="75"/>
      <c r="E53" s="91">
        <f t="shared" ref="E53:K53" si="24">E47+E52</f>
        <v>0</v>
      </c>
      <c r="F53" s="91">
        <f t="shared" si="24"/>
        <v>0</v>
      </c>
      <c r="G53" s="91">
        <f t="shared" si="24"/>
        <v>0</v>
      </c>
      <c r="H53" s="91">
        <f t="shared" si="24"/>
        <v>0</v>
      </c>
      <c r="I53" s="91">
        <f t="shared" si="24"/>
        <v>0</v>
      </c>
      <c r="J53" s="91">
        <f t="shared" si="24"/>
        <v>0</v>
      </c>
      <c r="K53" s="91">
        <f t="shared" si="24"/>
        <v>0</v>
      </c>
    </row>
    <row r="54" spans="1:12">
      <c r="A54" s="73"/>
      <c r="B54" s="73"/>
      <c r="C54" s="73"/>
      <c r="D54" s="73"/>
      <c r="E54" s="74"/>
      <c r="F54" s="74"/>
      <c r="G54" s="74"/>
      <c r="H54" s="74"/>
      <c r="I54" s="74"/>
      <c r="J54" s="74"/>
      <c r="K54" s="74"/>
    </row>
    <row r="55" spans="1:12">
      <c r="A55" s="75" t="s">
        <v>307</v>
      </c>
      <c r="B55" s="75"/>
      <c r="C55" s="75"/>
      <c r="D55" s="75"/>
      <c r="E55" s="91">
        <f t="shared" ref="E55:K55" si="25">E37-E53</f>
        <v>0</v>
      </c>
      <c r="F55" s="91">
        <f t="shared" si="25"/>
        <v>0</v>
      </c>
      <c r="G55" s="91">
        <f t="shared" si="25"/>
        <v>0</v>
      </c>
      <c r="H55" s="91">
        <f t="shared" si="25"/>
        <v>0</v>
      </c>
      <c r="I55" s="91">
        <f t="shared" si="25"/>
        <v>0</v>
      </c>
      <c r="J55" s="91">
        <f t="shared" si="25"/>
        <v>0</v>
      </c>
      <c r="K55" s="91">
        <f t="shared" si="25"/>
        <v>0</v>
      </c>
    </row>
    <row r="56" spans="1:12">
      <c r="A56" s="92"/>
      <c r="B56" s="92"/>
      <c r="C56" s="92"/>
      <c r="D56" s="92"/>
      <c r="E56" s="228"/>
      <c r="F56" s="228"/>
      <c r="G56" s="228"/>
      <c r="H56" s="228"/>
      <c r="I56" s="228"/>
      <c r="J56" s="228"/>
      <c r="K56" s="228"/>
    </row>
    <row r="57" spans="1:12">
      <c r="A57" s="72"/>
      <c r="B57" s="72"/>
      <c r="C57" s="92"/>
      <c r="D57" s="92"/>
      <c r="E57" s="228"/>
      <c r="F57" s="228"/>
      <c r="G57" s="228"/>
      <c r="H57" s="228"/>
      <c r="I57" s="228"/>
      <c r="J57" s="228"/>
      <c r="K57" s="228"/>
    </row>
    <row r="58" spans="1:12">
      <c r="A58" s="406" t="s">
        <v>408</v>
      </c>
      <c r="B58" s="406"/>
      <c r="C58" s="406"/>
      <c r="D58" s="406"/>
      <c r="E58" s="406"/>
      <c r="F58" s="406"/>
      <c r="G58" s="406"/>
      <c r="H58" s="406"/>
      <c r="I58" s="406"/>
      <c r="J58" s="406"/>
      <c r="K58" s="406"/>
      <c r="L58" s="406"/>
    </row>
    <row r="61" spans="1:12">
      <c r="A61" t="s">
        <v>521</v>
      </c>
    </row>
    <row r="62" spans="1:12">
      <c r="A62">
        <v>1</v>
      </c>
      <c r="B62" t="s">
        <v>534</v>
      </c>
    </row>
    <row r="63" spans="1:12">
      <c r="A63">
        <v>2</v>
      </c>
      <c r="B63" t="s">
        <v>535</v>
      </c>
    </row>
    <row r="64" spans="1:12">
      <c r="A64">
        <v>3</v>
      </c>
      <c r="B64" s="72" t="s">
        <v>579</v>
      </c>
    </row>
  </sheetData>
  <mergeCells count="4">
    <mergeCell ref="A20:K20"/>
    <mergeCell ref="A3:L3"/>
    <mergeCell ref="A58:L58"/>
    <mergeCell ref="A4:L4"/>
  </mergeCells>
  <pageMargins left="0.7" right="0.7" top="0.75" bottom="0.75" header="0.3" footer="0.3"/>
  <pageSetup paperSize="9" scale="4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5"/>
  <sheetViews>
    <sheetView view="pageBreakPreview" topLeftCell="A254" zoomScale="80" zoomScaleSheetLayoutView="80" workbookViewId="0">
      <selection activeCell="C275" sqref="C275"/>
    </sheetView>
  </sheetViews>
  <sheetFormatPr defaultRowHeight="15"/>
  <cols>
    <col min="1" max="1" width="41.140625" bestFit="1" customWidth="1"/>
    <col min="2" max="2" width="9.140625"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04" t="s">
        <v>574</v>
      </c>
      <c r="B2" s="404"/>
      <c r="C2" s="404"/>
      <c r="D2" s="404"/>
      <c r="E2" s="404"/>
      <c r="F2" s="404"/>
      <c r="G2" s="404"/>
      <c r="H2" s="404"/>
      <c r="I2" s="404"/>
    </row>
    <row r="4" spans="1:9">
      <c r="A4" s="72"/>
      <c r="B4" s="72"/>
      <c r="C4" s="72"/>
      <c r="D4" s="72"/>
      <c r="E4" s="72"/>
      <c r="F4" s="72"/>
      <c r="G4" s="72"/>
      <c r="H4" s="72"/>
      <c r="I4" s="72"/>
    </row>
    <row r="5" spans="1:9">
      <c r="A5" s="72"/>
      <c r="B5" s="72"/>
      <c r="C5" s="72"/>
      <c r="D5" s="72"/>
      <c r="E5" s="72"/>
      <c r="F5" s="72"/>
      <c r="G5" s="72"/>
      <c r="H5" s="72"/>
      <c r="I5" s="72"/>
    </row>
    <row r="6" spans="1:9">
      <c r="A6" s="124" t="s">
        <v>128</v>
      </c>
      <c r="B6" s="124"/>
      <c r="C6" s="96" t="s">
        <v>2</v>
      </c>
      <c r="D6" s="96" t="s">
        <v>3</v>
      </c>
      <c r="E6" s="96" t="s">
        <v>4</v>
      </c>
      <c r="F6" s="96" t="s">
        <v>5</v>
      </c>
      <c r="G6" s="96" t="s">
        <v>6</v>
      </c>
      <c r="H6" s="96" t="s">
        <v>168</v>
      </c>
      <c r="I6" s="96" t="s">
        <v>167</v>
      </c>
    </row>
    <row r="7" spans="1:9">
      <c r="A7" s="75" t="s">
        <v>536</v>
      </c>
      <c r="B7" s="73"/>
      <c r="C7" s="73"/>
      <c r="D7" s="73"/>
      <c r="E7" s="73"/>
      <c r="F7" s="73"/>
      <c r="G7" s="73"/>
      <c r="H7" s="73"/>
      <c r="I7" s="73"/>
    </row>
    <row r="8" spans="1:9">
      <c r="A8" s="75" t="s">
        <v>176</v>
      </c>
      <c r="B8" s="169"/>
      <c r="C8" s="215"/>
      <c r="D8" s="215"/>
      <c r="E8" s="215"/>
      <c r="F8" s="215"/>
      <c r="G8" s="215"/>
      <c r="H8" s="215"/>
      <c r="I8" s="215"/>
    </row>
    <row r="9" spans="1:9">
      <c r="A9" s="73" t="str">
        <f>'10.Grain Production details'!A92</f>
        <v>Soybean</v>
      </c>
      <c r="B9" s="169"/>
      <c r="C9" s="215">
        <f>'10.Grain Production details'!B92</f>
        <v>0</v>
      </c>
      <c r="D9" s="215">
        <f>'10.Grain Production details'!C92</f>
        <v>0</v>
      </c>
      <c r="E9" s="215">
        <f>'10.Grain Production details'!D92</f>
        <v>0</v>
      </c>
      <c r="F9" s="215">
        <f>'10.Grain Production details'!E92</f>
        <v>0</v>
      </c>
      <c r="G9" s="215">
        <f>'10.Grain Production details'!F92</f>
        <v>0</v>
      </c>
      <c r="H9" s="215">
        <f>'10.Grain Production details'!G92</f>
        <v>0</v>
      </c>
      <c r="I9" s="215">
        <f>'10.Grain Production details'!H92</f>
        <v>0</v>
      </c>
    </row>
    <row r="10" spans="1:9">
      <c r="A10" s="73" t="str">
        <f>'10.Grain Production details'!A93</f>
        <v>Red Gram/Tur</v>
      </c>
      <c r="B10" s="169"/>
      <c r="C10" s="215">
        <f>'10.Grain Production details'!B93</f>
        <v>0</v>
      </c>
      <c r="D10" s="215">
        <f>'10.Grain Production details'!C93</f>
        <v>0</v>
      </c>
      <c r="E10" s="215">
        <f>'10.Grain Production details'!D93</f>
        <v>0</v>
      </c>
      <c r="F10" s="215">
        <f>'10.Grain Production details'!E93</f>
        <v>0</v>
      </c>
      <c r="G10" s="215">
        <f>'10.Grain Production details'!F93</f>
        <v>0</v>
      </c>
      <c r="H10" s="215">
        <f>'10.Grain Production details'!G93</f>
        <v>0</v>
      </c>
      <c r="I10" s="215">
        <f>'10.Grain Production details'!H93</f>
        <v>0</v>
      </c>
    </row>
    <row r="11" spans="1:9">
      <c r="A11" s="73" t="str">
        <f>'10.Grain Production details'!A94</f>
        <v>Paddy/Rice</v>
      </c>
      <c r="B11" s="169"/>
      <c r="C11" s="215">
        <f>'10.Grain Production details'!B94</f>
        <v>0</v>
      </c>
      <c r="D11" s="215">
        <f>'10.Grain Production details'!C94</f>
        <v>0</v>
      </c>
      <c r="E11" s="215">
        <f>'10.Grain Production details'!D94</f>
        <v>0</v>
      </c>
      <c r="F11" s="215">
        <f>'10.Grain Production details'!E94</f>
        <v>0</v>
      </c>
      <c r="G11" s="215">
        <f>'10.Grain Production details'!F94</f>
        <v>0</v>
      </c>
      <c r="H11" s="215">
        <f>'10.Grain Production details'!G94</f>
        <v>0</v>
      </c>
      <c r="I11" s="215">
        <f>'10.Grain Production details'!H94</f>
        <v>0</v>
      </c>
    </row>
    <row r="12" spans="1:9">
      <c r="A12" s="73" t="str">
        <f>'10.Grain Production details'!A95</f>
        <v>Green Gram/ Moong</v>
      </c>
      <c r="B12" s="169"/>
      <c r="C12" s="215">
        <f>'10.Grain Production details'!B95</f>
        <v>0</v>
      </c>
      <c r="D12" s="215">
        <f>'10.Grain Production details'!C95</f>
        <v>0</v>
      </c>
      <c r="E12" s="215">
        <f>'10.Grain Production details'!D95</f>
        <v>0</v>
      </c>
      <c r="F12" s="215">
        <f>'10.Grain Production details'!E95</f>
        <v>0</v>
      </c>
      <c r="G12" s="215">
        <f>'10.Grain Production details'!F95</f>
        <v>0</v>
      </c>
      <c r="H12" s="215">
        <f>'10.Grain Production details'!G95</f>
        <v>0</v>
      </c>
      <c r="I12" s="215">
        <f>'10.Grain Production details'!H95</f>
        <v>0</v>
      </c>
    </row>
    <row r="13" spans="1:9">
      <c r="A13" s="73" t="str">
        <f>'10.Grain Production details'!A96</f>
        <v>Maize</v>
      </c>
      <c r="B13" s="169"/>
      <c r="C13" s="215">
        <f>'10.Grain Production details'!B96</f>
        <v>0</v>
      </c>
      <c r="D13" s="215">
        <f>'10.Grain Production details'!C96</f>
        <v>0</v>
      </c>
      <c r="E13" s="215">
        <f>'10.Grain Production details'!D96</f>
        <v>0</v>
      </c>
      <c r="F13" s="215">
        <f>'10.Grain Production details'!E96</f>
        <v>0</v>
      </c>
      <c r="G13" s="215">
        <f>'10.Grain Production details'!F96</f>
        <v>0</v>
      </c>
      <c r="H13" s="215">
        <f>'10.Grain Production details'!G96</f>
        <v>0</v>
      </c>
      <c r="I13" s="215">
        <f>'10.Grain Production details'!H96</f>
        <v>0</v>
      </c>
    </row>
    <row r="14" spans="1:9">
      <c r="A14" s="73" t="str">
        <f>'10.Grain Production details'!A97</f>
        <v>Black Gram/Udid</v>
      </c>
      <c r="B14" s="169"/>
      <c r="C14" s="215">
        <f>'10.Grain Production details'!B97</f>
        <v>0</v>
      </c>
      <c r="D14" s="215">
        <f>'10.Grain Production details'!C97</f>
        <v>0</v>
      </c>
      <c r="E14" s="215">
        <f>'10.Grain Production details'!D97</f>
        <v>0</v>
      </c>
      <c r="F14" s="215">
        <f>'10.Grain Production details'!E97</f>
        <v>0</v>
      </c>
      <c r="G14" s="215">
        <f>'10.Grain Production details'!F97</f>
        <v>0</v>
      </c>
      <c r="H14" s="215">
        <f>'10.Grain Production details'!G97</f>
        <v>0</v>
      </c>
      <c r="I14" s="215">
        <f>'10.Grain Production details'!H97</f>
        <v>0</v>
      </c>
    </row>
    <row r="15" spans="1:9">
      <c r="A15" s="73" t="str">
        <f>'10.Grain Production details'!A98</f>
        <v>Bajra</v>
      </c>
      <c r="B15" s="169"/>
      <c r="C15" s="215">
        <f>'10.Grain Production details'!B98</f>
        <v>0</v>
      </c>
      <c r="D15" s="215">
        <f>'10.Grain Production details'!C98</f>
        <v>0</v>
      </c>
      <c r="E15" s="215">
        <f>'10.Grain Production details'!D98</f>
        <v>0</v>
      </c>
      <c r="F15" s="215">
        <f>'10.Grain Production details'!E98</f>
        <v>0</v>
      </c>
      <c r="G15" s="215">
        <f>'10.Grain Production details'!F98</f>
        <v>0</v>
      </c>
      <c r="H15" s="215">
        <f>'10.Grain Production details'!G98</f>
        <v>0</v>
      </c>
      <c r="I15" s="215">
        <f>'10.Grain Production details'!H98</f>
        <v>0</v>
      </c>
    </row>
    <row r="16" spans="1:9">
      <c r="A16" s="73" t="str">
        <f>'10.Grain Production details'!A99</f>
        <v>Jawar</v>
      </c>
      <c r="B16" s="169"/>
      <c r="C16" s="215">
        <f>'10.Grain Production details'!B99</f>
        <v>0</v>
      </c>
      <c r="D16" s="215">
        <f>'10.Grain Production details'!C99</f>
        <v>0</v>
      </c>
      <c r="E16" s="215">
        <f>'10.Grain Production details'!D99</f>
        <v>0</v>
      </c>
      <c r="F16" s="215">
        <f>'10.Grain Production details'!E99</f>
        <v>0</v>
      </c>
      <c r="G16" s="215">
        <f>'10.Grain Production details'!F99</f>
        <v>0</v>
      </c>
      <c r="H16" s="215">
        <f>'10.Grain Production details'!G99</f>
        <v>0</v>
      </c>
      <c r="I16" s="215">
        <f>'10.Grain Production details'!H99</f>
        <v>0</v>
      </c>
    </row>
    <row r="17" spans="1:9">
      <c r="A17" s="75" t="s">
        <v>180</v>
      </c>
      <c r="B17" s="169"/>
      <c r="C17" s="215"/>
      <c r="D17" s="215"/>
      <c r="E17" s="215"/>
      <c r="F17" s="215"/>
      <c r="G17" s="215"/>
      <c r="H17" s="215"/>
      <c r="I17" s="215"/>
    </row>
    <row r="18" spans="1:9">
      <c r="A18" s="73" t="str">
        <f>'10.Grain Production details'!A101</f>
        <v>Wheat</v>
      </c>
      <c r="B18" s="169"/>
      <c r="C18" s="215">
        <f>'10.Grain Production details'!B101</f>
        <v>0</v>
      </c>
      <c r="D18" s="215">
        <f>'10.Grain Production details'!C101</f>
        <v>0</v>
      </c>
      <c r="E18" s="215">
        <f>'10.Grain Production details'!D101</f>
        <v>0</v>
      </c>
      <c r="F18" s="215">
        <f>'10.Grain Production details'!E101</f>
        <v>0</v>
      </c>
      <c r="G18" s="215">
        <f>'10.Grain Production details'!F101</f>
        <v>0</v>
      </c>
      <c r="H18" s="215">
        <f>'10.Grain Production details'!G101</f>
        <v>0</v>
      </c>
      <c r="I18" s="215">
        <f>'10.Grain Production details'!H101</f>
        <v>0</v>
      </c>
    </row>
    <row r="19" spans="1:9">
      <c r="A19" s="73" t="str">
        <f>'10.Grain Production details'!A102</f>
        <v>Bengal Gram/Channa</v>
      </c>
      <c r="B19" s="169"/>
      <c r="C19" s="215">
        <f>'10.Grain Production details'!B102</f>
        <v>0</v>
      </c>
      <c r="D19" s="215">
        <f>'10.Grain Production details'!C102</f>
        <v>0</v>
      </c>
      <c r="E19" s="215">
        <f>'10.Grain Production details'!D102</f>
        <v>0</v>
      </c>
      <c r="F19" s="215">
        <f>'10.Grain Production details'!E102</f>
        <v>0</v>
      </c>
      <c r="G19" s="215">
        <f>'10.Grain Production details'!F102</f>
        <v>0</v>
      </c>
      <c r="H19" s="215">
        <f>'10.Grain Production details'!G102</f>
        <v>0</v>
      </c>
      <c r="I19" s="215">
        <f>'10.Grain Production details'!H102</f>
        <v>0</v>
      </c>
    </row>
    <row r="20" spans="1:9">
      <c r="A20" s="73" t="str">
        <f>'10.Grain Production details'!A103</f>
        <v>Jawar</v>
      </c>
      <c r="B20" s="169"/>
      <c r="C20" s="215">
        <f>'10.Grain Production details'!B103</f>
        <v>0</v>
      </c>
      <c r="D20" s="215">
        <f>'10.Grain Production details'!C103</f>
        <v>0</v>
      </c>
      <c r="E20" s="215">
        <f>'10.Grain Production details'!D103</f>
        <v>0</v>
      </c>
      <c r="F20" s="215">
        <f>'10.Grain Production details'!E103</f>
        <v>0</v>
      </c>
      <c r="G20" s="215">
        <f>'10.Grain Production details'!F103</f>
        <v>0</v>
      </c>
      <c r="H20" s="215">
        <f>'10.Grain Production details'!G103</f>
        <v>0</v>
      </c>
      <c r="I20" s="215">
        <f>'10.Grain Production details'!H103</f>
        <v>0</v>
      </c>
    </row>
    <row r="21" spans="1:9">
      <c r="A21" s="73" t="str">
        <f>'10.Grain Production details'!A104</f>
        <v>Maize</v>
      </c>
      <c r="B21" s="169"/>
      <c r="C21" s="215">
        <f>'10.Grain Production details'!B104</f>
        <v>0</v>
      </c>
      <c r="D21" s="215">
        <f>'10.Grain Production details'!C104</f>
        <v>0</v>
      </c>
      <c r="E21" s="215">
        <f>'10.Grain Production details'!D104</f>
        <v>0</v>
      </c>
      <c r="F21" s="215">
        <f>'10.Grain Production details'!E104</f>
        <v>0</v>
      </c>
      <c r="G21" s="215">
        <f>'10.Grain Production details'!F104</f>
        <v>0</v>
      </c>
      <c r="H21" s="215">
        <f>'10.Grain Production details'!G104</f>
        <v>0</v>
      </c>
      <c r="I21" s="215">
        <f>'10.Grain Production details'!H104</f>
        <v>0</v>
      </c>
    </row>
    <row r="22" spans="1:9">
      <c r="A22" s="73" t="str">
        <f>'10.Grain Production details'!A105</f>
        <v>Safflower</v>
      </c>
      <c r="B22" s="169"/>
      <c r="C22" s="215">
        <f>'10.Grain Production details'!B105</f>
        <v>0</v>
      </c>
      <c r="D22" s="215">
        <f>'10.Grain Production details'!C105</f>
        <v>0</v>
      </c>
      <c r="E22" s="215">
        <f>'10.Grain Production details'!D105</f>
        <v>0</v>
      </c>
      <c r="F22" s="215">
        <f>'10.Grain Production details'!E105</f>
        <v>0</v>
      </c>
      <c r="G22" s="215">
        <f>'10.Grain Production details'!F105</f>
        <v>0</v>
      </c>
      <c r="H22" s="215">
        <f>'10.Grain Production details'!G105</f>
        <v>0</v>
      </c>
      <c r="I22" s="215">
        <f>'10.Grain Production details'!H105</f>
        <v>0</v>
      </c>
    </row>
    <row r="23" spans="1:9">
      <c r="A23" s="73">
        <f>'10.Grain Production details'!A106</f>
        <v>0</v>
      </c>
      <c r="B23" s="169"/>
      <c r="C23" s="215">
        <f>'10.Grain Production details'!B106</f>
        <v>0</v>
      </c>
      <c r="D23" s="215">
        <f>'10.Grain Production details'!C106</f>
        <v>0</v>
      </c>
      <c r="E23" s="215">
        <f>'10.Grain Production details'!D106</f>
        <v>0</v>
      </c>
      <c r="F23" s="215">
        <f>'10.Grain Production details'!E106</f>
        <v>0</v>
      </c>
      <c r="G23" s="215">
        <f>'10.Grain Production details'!F106</f>
        <v>0</v>
      </c>
      <c r="H23" s="215">
        <f>'10.Grain Production details'!G106</f>
        <v>0</v>
      </c>
      <c r="I23" s="215">
        <f>'10.Grain Production details'!H106</f>
        <v>0</v>
      </c>
    </row>
    <row r="24" spans="1:9">
      <c r="A24" s="73">
        <f>'10.Grain Production details'!A107</f>
        <v>0</v>
      </c>
      <c r="B24" s="169"/>
      <c r="C24" s="215">
        <f>'10.Grain Production details'!B107</f>
        <v>0</v>
      </c>
      <c r="D24" s="215">
        <f>'10.Grain Production details'!C107</f>
        <v>0</v>
      </c>
      <c r="E24" s="215">
        <f>'10.Grain Production details'!D107</f>
        <v>0</v>
      </c>
      <c r="F24" s="215">
        <f>'10.Grain Production details'!E107</f>
        <v>0</v>
      </c>
      <c r="G24" s="215">
        <f>'10.Grain Production details'!F107</f>
        <v>0</v>
      </c>
      <c r="H24" s="215">
        <f>'10.Grain Production details'!G107</f>
        <v>0</v>
      </c>
      <c r="I24" s="215">
        <f>'10.Grain Production details'!H107</f>
        <v>0</v>
      </c>
    </row>
    <row r="25" spans="1:9">
      <c r="A25" s="73">
        <f>'10.Grain Production details'!A108</f>
        <v>0</v>
      </c>
      <c r="B25" s="169"/>
      <c r="C25" s="215">
        <f>'10.Grain Production details'!B108</f>
        <v>0</v>
      </c>
      <c r="D25" s="215">
        <f>'10.Grain Production details'!C108</f>
        <v>0</v>
      </c>
      <c r="E25" s="215">
        <f>'10.Grain Production details'!D108</f>
        <v>0</v>
      </c>
      <c r="F25" s="215">
        <f>'10.Grain Production details'!E108</f>
        <v>0</v>
      </c>
      <c r="G25" s="215">
        <f>'10.Grain Production details'!F108</f>
        <v>0</v>
      </c>
      <c r="H25" s="215">
        <f>'10.Grain Production details'!G108</f>
        <v>0</v>
      </c>
      <c r="I25" s="215">
        <f>'10.Grain Production details'!H108</f>
        <v>0</v>
      </c>
    </row>
    <row r="26" spans="1:9">
      <c r="A26" s="75" t="str">
        <f>'10.Grain Production details'!A33</f>
        <v>Summer</v>
      </c>
      <c r="B26" s="169"/>
      <c r="C26" s="215"/>
      <c r="D26" s="215"/>
      <c r="E26" s="215"/>
      <c r="F26" s="215"/>
      <c r="G26" s="215"/>
      <c r="H26" s="215"/>
      <c r="I26" s="215"/>
    </row>
    <row r="27" spans="1:9">
      <c r="A27" s="73" t="str">
        <f>'10.Grain Production details'!A109</f>
        <v>Groundnut</v>
      </c>
      <c r="B27" s="169"/>
      <c r="C27" s="215">
        <f>'10.Grain Production details'!B110</f>
        <v>0</v>
      </c>
      <c r="D27" s="215">
        <f>'10.Grain Production details'!C110</f>
        <v>0</v>
      </c>
      <c r="E27" s="215">
        <f>'10.Grain Production details'!D110</f>
        <v>0</v>
      </c>
      <c r="F27" s="215">
        <f>'10.Grain Production details'!E110</f>
        <v>0</v>
      </c>
      <c r="G27" s="215">
        <f>'10.Grain Production details'!F110</f>
        <v>0</v>
      </c>
      <c r="H27" s="215">
        <f>'10.Grain Production details'!G110</f>
        <v>0</v>
      </c>
      <c r="I27" s="215">
        <f>'10.Grain Production details'!H110</f>
        <v>0</v>
      </c>
    </row>
    <row r="28" spans="1:9">
      <c r="A28" s="73">
        <f>'10.Grain Production details'!A110</f>
        <v>0</v>
      </c>
      <c r="B28" s="169"/>
      <c r="C28" s="215">
        <f>'10.Grain Production details'!B111</f>
        <v>0</v>
      </c>
      <c r="D28" s="215">
        <f>'10.Grain Production details'!C111</f>
        <v>0</v>
      </c>
      <c r="E28" s="215">
        <f>'10.Grain Production details'!D111</f>
        <v>0</v>
      </c>
      <c r="F28" s="215">
        <f>'10.Grain Production details'!E111</f>
        <v>0</v>
      </c>
      <c r="G28" s="215">
        <f>'10.Grain Production details'!F111</f>
        <v>0</v>
      </c>
      <c r="H28" s="215">
        <f>'10.Grain Production details'!G111</f>
        <v>0</v>
      </c>
      <c r="I28" s="215">
        <f>'10.Grain Production details'!H111</f>
        <v>0</v>
      </c>
    </row>
    <row r="29" spans="1:9">
      <c r="A29" s="73">
        <f>'10.Grain Production details'!A111</f>
        <v>0</v>
      </c>
      <c r="B29" s="169"/>
      <c r="C29" s="215">
        <f>'10.Grain Production details'!B112</f>
        <v>0</v>
      </c>
      <c r="D29" s="215">
        <f>'10.Grain Production details'!C112</f>
        <v>0</v>
      </c>
      <c r="E29" s="215">
        <f>'10.Grain Production details'!D112</f>
        <v>0</v>
      </c>
      <c r="F29" s="215">
        <f>'10.Grain Production details'!E112</f>
        <v>0</v>
      </c>
      <c r="G29" s="215">
        <f>'10.Grain Production details'!F112</f>
        <v>0</v>
      </c>
      <c r="H29" s="215">
        <f>'10.Grain Production details'!G112</f>
        <v>0</v>
      </c>
      <c r="I29" s="215">
        <f>'10.Grain Production details'!H112</f>
        <v>0</v>
      </c>
    </row>
    <row r="30" spans="1:9">
      <c r="A30" s="73">
        <f>'10.Grain Production details'!A112</f>
        <v>0</v>
      </c>
      <c r="B30" s="169"/>
      <c r="C30" s="215">
        <f>'10.Grain Production details'!B113</f>
        <v>0</v>
      </c>
      <c r="D30" s="215">
        <f>'10.Grain Production details'!C113</f>
        <v>0</v>
      </c>
      <c r="E30" s="215">
        <f>'10.Grain Production details'!D113</f>
        <v>0</v>
      </c>
      <c r="F30" s="215">
        <f>'10.Grain Production details'!E113</f>
        <v>0</v>
      </c>
      <c r="G30" s="215">
        <f>'10.Grain Production details'!F113</f>
        <v>0</v>
      </c>
      <c r="H30" s="215">
        <f>'10.Grain Production details'!G113</f>
        <v>0</v>
      </c>
      <c r="I30" s="215">
        <f>'10.Grain Production details'!H113</f>
        <v>0</v>
      </c>
    </row>
    <row r="31" spans="1:9">
      <c r="A31" s="73">
        <f>'10.Grain Production details'!A113</f>
        <v>0</v>
      </c>
      <c r="B31" s="169"/>
      <c r="C31" s="215">
        <f>'10.Grain Production details'!C114</f>
        <v>0</v>
      </c>
      <c r="D31" s="215">
        <f>'10.Grain Production details'!D114</f>
        <v>0</v>
      </c>
      <c r="E31" s="215">
        <f>'10.Grain Production details'!E114</f>
        <v>0</v>
      </c>
      <c r="F31" s="215">
        <f>'10.Grain Production details'!F114</f>
        <v>0</v>
      </c>
      <c r="G31" s="215">
        <f>'10.Grain Production details'!G114</f>
        <v>0</v>
      </c>
      <c r="H31" s="215">
        <f>'10.Grain Production details'!H114</f>
        <v>0</v>
      </c>
      <c r="I31" s="215">
        <f>'10.Grain Production details'!I114</f>
        <v>0</v>
      </c>
    </row>
    <row r="32" spans="1:9">
      <c r="A32" s="75" t="str">
        <f>'11.F&amp;V Crop Production details'!A1:H1</f>
        <v>Fruit  &amp; Vegetables Crop Production Details</v>
      </c>
      <c r="B32" s="169"/>
      <c r="C32" s="215"/>
      <c r="D32" s="215"/>
      <c r="E32" s="215"/>
      <c r="F32" s="215"/>
      <c r="G32" s="215"/>
      <c r="H32" s="215"/>
      <c r="I32" s="215"/>
    </row>
    <row r="33" spans="1:9">
      <c r="A33" s="73" t="str">
        <f>'11.F&amp;V Crop Production details'!A102</f>
        <v>Onion</v>
      </c>
      <c r="B33" s="169"/>
      <c r="C33" s="215">
        <f>'11.F&amp;V Crop Production details'!B102</f>
        <v>0</v>
      </c>
      <c r="D33" s="215">
        <f>'11.F&amp;V Crop Production details'!C102</f>
        <v>0</v>
      </c>
      <c r="E33" s="215">
        <f>'11.F&amp;V Crop Production details'!D102</f>
        <v>0</v>
      </c>
      <c r="F33" s="215">
        <f>'11.F&amp;V Crop Production details'!E102</f>
        <v>0</v>
      </c>
      <c r="G33" s="215">
        <f>'11.F&amp;V Crop Production details'!F102</f>
        <v>0</v>
      </c>
      <c r="H33" s="215">
        <f>'11.F&amp;V Crop Production details'!G102</f>
        <v>0</v>
      </c>
      <c r="I33" s="215">
        <f>'11.F&amp;V Crop Production details'!H102</f>
        <v>0</v>
      </c>
    </row>
    <row r="34" spans="1:9">
      <c r="A34" s="73" t="str">
        <f>'11.F&amp;V Crop Production details'!A103</f>
        <v>Tomato</v>
      </c>
      <c r="B34" s="169"/>
      <c r="C34" s="215">
        <f>'11.F&amp;V Crop Production details'!B103</f>
        <v>0</v>
      </c>
      <c r="D34" s="215">
        <f>'11.F&amp;V Crop Production details'!C103</f>
        <v>0</v>
      </c>
      <c r="E34" s="215">
        <f>'11.F&amp;V Crop Production details'!D103</f>
        <v>0</v>
      </c>
      <c r="F34" s="215">
        <f>'11.F&amp;V Crop Production details'!E103</f>
        <v>0</v>
      </c>
      <c r="G34" s="215">
        <f>'11.F&amp;V Crop Production details'!F103</f>
        <v>0</v>
      </c>
      <c r="H34" s="215">
        <f>'11.F&amp;V Crop Production details'!G103</f>
        <v>0</v>
      </c>
      <c r="I34" s="215">
        <f>'11.F&amp;V Crop Production details'!H103</f>
        <v>0</v>
      </c>
    </row>
    <row r="35" spans="1:9">
      <c r="A35" s="73" t="str">
        <f>'11.F&amp;V Crop Production details'!A104</f>
        <v>Okra</v>
      </c>
      <c r="B35" s="169"/>
      <c r="C35" s="215">
        <f>'11.F&amp;V Crop Production details'!B104</f>
        <v>0</v>
      </c>
      <c r="D35" s="215">
        <f>'11.F&amp;V Crop Production details'!C104</f>
        <v>0</v>
      </c>
      <c r="E35" s="215">
        <f>'11.F&amp;V Crop Production details'!D104</f>
        <v>0</v>
      </c>
      <c r="F35" s="215">
        <f>'11.F&amp;V Crop Production details'!E104</f>
        <v>0</v>
      </c>
      <c r="G35" s="215">
        <f>'11.F&amp;V Crop Production details'!F104</f>
        <v>0</v>
      </c>
      <c r="H35" s="215">
        <f>'11.F&amp;V Crop Production details'!G104</f>
        <v>0</v>
      </c>
      <c r="I35" s="215">
        <f>'11.F&amp;V Crop Production details'!H104</f>
        <v>0</v>
      </c>
    </row>
    <row r="36" spans="1:9">
      <c r="A36" s="73" t="str">
        <f>'11.F&amp;V Crop Production details'!A105</f>
        <v>Chilli</v>
      </c>
      <c r="B36" s="169"/>
      <c r="C36" s="215">
        <f>'11.F&amp;V Crop Production details'!B105</f>
        <v>0</v>
      </c>
      <c r="D36" s="215">
        <f>'11.F&amp;V Crop Production details'!C105</f>
        <v>0</v>
      </c>
      <c r="E36" s="215">
        <f>'11.F&amp;V Crop Production details'!D105</f>
        <v>0</v>
      </c>
      <c r="F36" s="215">
        <f>'11.F&amp;V Crop Production details'!E105</f>
        <v>0</v>
      </c>
      <c r="G36" s="215">
        <f>'11.F&amp;V Crop Production details'!F105</f>
        <v>0</v>
      </c>
      <c r="H36" s="215">
        <f>'11.F&amp;V Crop Production details'!G105</f>
        <v>0</v>
      </c>
      <c r="I36" s="215">
        <f>'11.F&amp;V Crop Production details'!H105</f>
        <v>0</v>
      </c>
    </row>
    <row r="37" spans="1:9">
      <c r="A37" s="73" t="str">
        <f>'11.F&amp;V Crop Production details'!A106</f>
        <v>Potato</v>
      </c>
      <c r="B37" s="169"/>
      <c r="C37" s="215">
        <f>'11.F&amp;V Crop Production details'!B106</f>
        <v>0</v>
      </c>
      <c r="D37" s="215">
        <f>'11.F&amp;V Crop Production details'!C106</f>
        <v>0</v>
      </c>
      <c r="E37" s="215">
        <f>'11.F&amp;V Crop Production details'!D106</f>
        <v>0</v>
      </c>
      <c r="F37" s="215">
        <f>'11.F&amp;V Crop Production details'!E106</f>
        <v>0</v>
      </c>
      <c r="G37" s="215">
        <f>'11.F&amp;V Crop Production details'!F106</f>
        <v>0</v>
      </c>
      <c r="H37" s="215">
        <f>'11.F&amp;V Crop Production details'!G106</f>
        <v>0</v>
      </c>
      <c r="I37" s="215">
        <f>'11.F&amp;V Crop Production details'!H106</f>
        <v>0</v>
      </c>
    </row>
    <row r="38" spans="1:9">
      <c r="A38" s="73">
        <f>'11.F&amp;V Crop Production details'!A107</f>
        <v>0</v>
      </c>
      <c r="B38" s="169"/>
      <c r="C38" s="215">
        <f>'11.F&amp;V Crop Production details'!B107</f>
        <v>0</v>
      </c>
      <c r="D38" s="215">
        <f>'11.F&amp;V Crop Production details'!C107</f>
        <v>0</v>
      </c>
      <c r="E38" s="215">
        <f>'11.F&amp;V Crop Production details'!D107</f>
        <v>0</v>
      </c>
      <c r="F38" s="215">
        <f>'11.F&amp;V Crop Production details'!E107</f>
        <v>0</v>
      </c>
      <c r="G38" s="215">
        <f>'11.F&amp;V Crop Production details'!F107</f>
        <v>0</v>
      </c>
      <c r="H38" s="215">
        <f>'11.F&amp;V Crop Production details'!G107</f>
        <v>0</v>
      </c>
      <c r="I38" s="215">
        <f>'11.F&amp;V Crop Production details'!H107</f>
        <v>0</v>
      </c>
    </row>
    <row r="39" spans="1:9">
      <c r="A39" s="73">
        <f>'11.F&amp;V Crop Production details'!A108</f>
        <v>0</v>
      </c>
      <c r="B39" s="169"/>
      <c r="C39" s="215">
        <f>'11.F&amp;V Crop Production details'!B108</f>
        <v>0</v>
      </c>
      <c r="D39" s="215">
        <f>'11.F&amp;V Crop Production details'!C108</f>
        <v>0</v>
      </c>
      <c r="E39" s="215">
        <f>'11.F&amp;V Crop Production details'!D108</f>
        <v>0</v>
      </c>
      <c r="F39" s="215">
        <f>'11.F&amp;V Crop Production details'!E108</f>
        <v>0</v>
      </c>
      <c r="G39" s="215">
        <f>'11.F&amp;V Crop Production details'!F108</f>
        <v>0</v>
      </c>
      <c r="H39" s="215">
        <f>'11.F&amp;V Crop Production details'!G108</f>
        <v>0</v>
      </c>
      <c r="I39" s="215">
        <f>'11.F&amp;V Crop Production details'!H108</f>
        <v>0</v>
      </c>
    </row>
    <row r="40" spans="1:9">
      <c r="A40" s="73">
        <f>'11.F&amp;V Crop Production details'!A109</f>
        <v>0</v>
      </c>
      <c r="B40" s="169"/>
      <c r="C40" s="215">
        <f>'11.F&amp;V Crop Production details'!B109</f>
        <v>0</v>
      </c>
      <c r="D40" s="215">
        <f>'11.F&amp;V Crop Production details'!C109</f>
        <v>0</v>
      </c>
      <c r="E40" s="215">
        <f>'11.F&amp;V Crop Production details'!D109</f>
        <v>0</v>
      </c>
      <c r="F40" s="215">
        <f>'11.F&amp;V Crop Production details'!E109</f>
        <v>0</v>
      </c>
      <c r="G40" s="215">
        <f>'11.F&amp;V Crop Production details'!F109</f>
        <v>0</v>
      </c>
      <c r="H40" s="215">
        <f>'11.F&amp;V Crop Production details'!G109</f>
        <v>0</v>
      </c>
      <c r="I40" s="215">
        <f>'11.F&amp;V Crop Production details'!H109</f>
        <v>0</v>
      </c>
    </row>
    <row r="41" spans="1:9">
      <c r="A41" s="73">
        <f>'11.F&amp;V Crop Production details'!A110</f>
        <v>0</v>
      </c>
      <c r="B41" s="169"/>
      <c r="C41" s="215">
        <f>'11.F&amp;V Crop Production details'!B110</f>
        <v>0</v>
      </c>
      <c r="D41" s="215">
        <f>'11.F&amp;V Crop Production details'!C110</f>
        <v>0</v>
      </c>
      <c r="E41" s="215">
        <f>'11.F&amp;V Crop Production details'!D110</f>
        <v>0</v>
      </c>
      <c r="F41" s="215">
        <f>'11.F&amp;V Crop Production details'!E110</f>
        <v>0</v>
      </c>
      <c r="G41" s="215">
        <f>'11.F&amp;V Crop Production details'!F110</f>
        <v>0</v>
      </c>
      <c r="H41" s="215">
        <f>'11.F&amp;V Crop Production details'!G110</f>
        <v>0</v>
      </c>
      <c r="I41" s="215">
        <f>'11.F&amp;V Crop Production details'!H110</f>
        <v>0</v>
      </c>
    </row>
    <row r="42" spans="1:9">
      <c r="A42" s="73" t="str">
        <f>'11.F&amp;V Crop Production details'!A111</f>
        <v>Onion</v>
      </c>
      <c r="B42" s="169"/>
      <c r="C42" s="215">
        <f>'11.F&amp;V Crop Production details'!B111</f>
        <v>0</v>
      </c>
      <c r="D42" s="215">
        <f>'11.F&amp;V Crop Production details'!C111</f>
        <v>0</v>
      </c>
      <c r="E42" s="215">
        <f>'11.F&amp;V Crop Production details'!D111</f>
        <v>0</v>
      </c>
      <c r="F42" s="215">
        <f>'11.F&amp;V Crop Production details'!E111</f>
        <v>0</v>
      </c>
      <c r="G42" s="215">
        <f>'11.F&amp;V Crop Production details'!F111</f>
        <v>0</v>
      </c>
      <c r="H42" s="215">
        <f>'11.F&amp;V Crop Production details'!G111</f>
        <v>0</v>
      </c>
      <c r="I42" s="215">
        <f>'11.F&amp;V Crop Production details'!H111</f>
        <v>0</v>
      </c>
    </row>
    <row r="43" spans="1:9">
      <c r="A43" s="73" t="str">
        <f>'11.F&amp;V Crop Production details'!A112</f>
        <v>Tomato</v>
      </c>
      <c r="B43" s="169"/>
      <c r="C43" s="215">
        <f>'11.F&amp;V Crop Production details'!B112</f>
        <v>0</v>
      </c>
      <c r="D43" s="215">
        <f>'11.F&amp;V Crop Production details'!C112</f>
        <v>0</v>
      </c>
      <c r="E43" s="215">
        <f>'11.F&amp;V Crop Production details'!D112</f>
        <v>0</v>
      </c>
      <c r="F43" s="215">
        <f>'11.F&amp;V Crop Production details'!E112</f>
        <v>0</v>
      </c>
      <c r="G43" s="215">
        <f>'11.F&amp;V Crop Production details'!F112</f>
        <v>0</v>
      </c>
      <c r="H43" s="215">
        <f>'11.F&amp;V Crop Production details'!G112</f>
        <v>0</v>
      </c>
      <c r="I43" s="215">
        <f>'11.F&amp;V Crop Production details'!H112</f>
        <v>0</v>
      </c>
    </row>
    <row r="44" spans="1:9">
      <c r="A44" s="73" t="str">
        <f>'11.F&amp;V Crop Production details'!A113</f>
        <v>Okra</v>
      </c>
      <c r="B44" s="169"/>
      <c r="C44" s="215">
        <f>'11.F&amp;V Crop Production details'!B113</f>
        <v>0</v>
      </c>
      <c r="D44" s="215">
        <f>'11.F&amp;V Crop Production details'!C113</f>
        <v>0</v>
      </c>
      <c r="E44" s="215">
        <f>'11.F&amp;V Crop Production details'!D113</f>
        <v>0</v>
      </c>
      <c r="F44" s="215">
        <f>'11.F&amp;V Crop Production details'!E113</f>
        <v>0</v>
      </c>
      <c r="G44" s="215">
        <f>'11.F&amp;V Crop Production details'!F113</f>
        <v>0</v>
      </c>
      <c r="H44" s="215">
        <f>'11.F&amp;V Crop Production details'!G113</f>
        <v>0</v>
      </c>
      <c r="I44" s="215">
        <f>'11.F&amp;V Crop Production details'!H113</f>
        <v>0</v>
      </c>
    </row>
    <row r="45" spans="1:9">
      <c r="A45" s="73" t="str">
        <f>'11.F&amp;V Crop Production details'!A114</f>
        <v>Chilli</v>
      </c>
      <c r="B45" s="169"/>
      <c r="C45" s="215">
        <f>'11.F&amp;V Crop Production details'!B114</f>
        <v>0</v>
      </c>
      <c r="D45" s="215">
        <f>'11.F&amp;V Crop Production details'!C114</f>
        <v>0</v>
      </c>
      <c r="E45" s="215">
        <f>'11.F&amp;V Crop Production details'!D114</f>
        <v>0</v>
      </c>
      <c r="F45" s="215">
        <f>'11.F&amp;V Crop Production details'!E114</f>
        <v>0</v>
      </c>
      <c r="G45" s="215">
        <f>'11.F&amp;V Crop Production details'!F114</f>
        <v>0</v>
      </c>
      <c r="H45" s="215">
        <f>'11.F&amp;V Crop Production details'!G114</f>
        <v>0</v>
      </c>
      <c r="I45" s="215">
        <f>'11.F&amp;V Crop Production details'!H114</f>
        <v>0</v>
      </c>
    </row>
    <row r="46" spans="1:9">
      <c r="A46" s="73" t="str">
        <f>'11.F&amp;V Crop Production details'!A115</f>
        <v>Brinjal</v>
      </c>
      <c r="B46" s="169"/>
      <c r="C46" s="215">
        <f>'11.F&amp;V Crop Production details'!B115</f>
        <v>0</v>
      </c>
      <c r="D46" s="215">
        <f>'11.F&amp;V Crop Production details'!C115</f>
        <v>0</v>
      </c>
      <c r="E46" s="215">
        <f>'11.F&amp;V Crop Production details'!D115</f>
        <v>0</v>
      </c>
      <c r="F46" s="215">
        <f>'11.F&amp;V Crop Production details'!E115</f>
        <v>0</v>
      </c>
      <c r="G46" s="215">
        <f>'11.F&amp;V Crop Production details'!F115</f>
        <v>0</v>
      </c>
      <c r="H46" s="215">
        <f>'11.F&amp;V Crop Production details'!G115</f>
        <v>0</v>
      </c>
      <c r="I46" s="215">
        <f>'11.F&amp;V Crop Production details'!H115</f>
        <v>0</v>
      </c>
    </row>
    <row r="47" spans="1:9">
      <c r="A47" s="73">
        <f>'11.F&amp;V Crop Production details'!A116</f>
        <v>0</v>
      </c>
      <c r="B47" s="169"/>
      <c r="C47" s="215">
        <f>'11.F&amp;V Crop Production details'!B116</f>
        <v>0</v>
      </c>
      <c r="D47" s="215">
        <f>'11.F&amp;V Crop Production details'!C116</f>
        <v>0</v>
      </c>
      <c r="E47" s="215">
        <f>'11.F&amp;V Crop Production details'!D116</f>
        <v>0</v>
      </c>
      <c r="F47" s="215">
        <f>'11.F&amp;V Crop Production details'!E116</f>
        <v>0</v>
      </c>
      <c r="G47" s="215">
        <f>'11.F&amp;V Crop Production details'!F116</f>
        <v>0</v>
      </c>
      <c r="H47" s="215">
        <f>'11.F&amp;V Crop Production details'!G116</f>
        <v>0</v>
      </c>
      <c r="I47" s="215">
        <f>'11.F&amp;V Crop Production details'!H116</f>
        <v>0</v>
      </c>
    </row>
    <row r="48" spans="1:9">
      <c r="A48" s="73">
        <f>'11.F&amp;V Crop Production details'!A117</f>
        <v>0</v>
      </c>
      <c r="B48" s="169"/>
      <c r="C48" s="215">
        <f>'11.F&amp;V Crop Production details'!B117</f>
        <v>0</v>
      </c>
      <c r="D48" s="215">
        <f>'11.F&amp;V Crop Production details'!C117</f>
        <v>0</v>
      </c>
      <c r="E48" s="215">
        <f>'11.F&amp;V Crop Production details'!D117</f>
        <v>0</v>
      </c>
      <c r="F48" s="215">
        <f>'11.F&amp;V Crop Production details'!E117</f>
        <v>0</v>
      </c>
      <c r="G48" s="215">
        <f>'11.F&amp;V Crop Production details'!F117</f>
        <v>0</v>
      </c>
      <c r="H48" s="215">
        <f>'11.F&amp;V Crop Production details'!G117</f>
        <v>0</v>
      </c>
      <c r="I48" s="215">
        <f>'11.F&amp;V Crop Production details'!H117</f>
        <v>0</v>
      </c>
    </row>
    <row r="49" spans="1:9">
      <c r="A49" s="73">
        <f>'11.F&amp;V Crop Production details'!A118</f>
        <v>0</v>
      </c>
      <c r="B49" s="169"/>
      <c r="C49" s="215">
        <f>'11.F&amp;V Crop Production details'!B118</f>
        <v>0</v>
      </c>
      <c r="D49" s="215">
        <f>'11.F&amp;V Crop Production details'!C118</f>
        <v>0</v>
      </c>
      <c r="E49" s="215">
        <f>'11.F&amp;V Crop Production details'!D118</f>
        <v>0</v>
      </c>
      <c r="F49" s="215">
        <f>'11.F&amp;V Crop Production details'!E118</f>
        <v>0</v>
      </c>
      <c r="G49" s="215">
        <f>'11.F&amp;V Crop Production details'!F118</f>
        <v>0</v>
      </c>
      <c r="H49" s="215">
        <f>'11.F&amp;V Crop Production details'!G118</f>
        <v>0</v>
      </c>
      <c r="I49" s="215">
        <f>'11.F&amp;V Crop Production details'!H118</f>
        <v>0</v>
      </c>
    </row>
    <row r="50" spans="1:9">
      <c r="A50" s="73">
        <f>'11.F&amp;V Crop Production details'!A119</f>
        <v>0</v>
      </c>
      <c r="B50" s="169"/>
      <c r="C50" s="215">
        <f>'11.F&amp;V Crop Production details'!B119</f>
        <v>0</v>
      </c>
      <c r="D50" s="215">
        <f>'11.F&amp;V Crop Production details'!C119</f>
        <v>0</v>
      </c>
      <c r="E50" s="215">
        <f>'11.F&amp;V Crop Production details'!D119</f>
        <v>0</v>
      </c>
      <c r="F50" s="215">
        <f>'11.F&amp;V Crop Production details'!E119</f>
        <v>0</v>
      </c>
      <c r="G50" s="215">
        <f>'11.F&amp;V Crop Production details'!F119</f>
        <v>0</v>
      </c>
      <c r="H50" s="215">
        <f>'11.F&amp;V Crop Production details'!G119</f>
        <v>0</v>
      </c>
      <c r="I50" s="215">
        <f>'11.F&amp;V Crop Production details'!H119</f>
        <v>0</v>
      </c>
    </row>
    <row r="51" spans="1:9">
      <c r="A51" s="73">
        <f>'11.F&amp;V Crop Production details'!A120</f>
        <v>0</v>
      </c>
      <c r="B51" s="169"/>
      <c r="C51" s="215">
        <f>'11.F&amp;V Crop Production details'!B120</f>
        <v>0</v>
      </c>
      <c r="D51" s="215">
        <f>'11.F&amp;V Crop Production details'!C120</f>
        <v>0</v>
      </c>
      <c r="E51" s="215">
        <f>'11.F&amp;V Crop Production details'!D120</f>
        <v>0</v>
      </c>
      <c r="F51" s="215">
        <f>'11.F&amp;V Crop Production details'!E120</f>
        <v>0</v>
      </c>
      <c r="G51" s="215">
        <f>'11.F&amp;V Crop Production details'!F120</f>
        <v>0</v>
      </c>
      <c r="H51" s="215">
        <f>'11.F&amp;V Crop Production details'!G120</f>
        <v>0</v>
      </c>
      <c r="I51" s="215">
        <f>'11.F&amp;V Crop Production details'!H120</f>
        <v>0</v>
      </c>
    </row>
    <row r="52" spans="1:9">
      <c r="A52" s="73">
        <f>'11.F&amp;V Crop Production details'!A121</f>
        <v>0</v>
      </c>
      <c r="B52" s="169"/>
      <c r="C52" s="215">
        <f>'11.F&amp;V Crop Production details'!B121</f>
        <v>0</v>
      </c>
      <c r="D52" s="215">
        <f>'11.F&amp;V Crop Production details'!C121</f>
        <v>0</v>
      </c>
      <c r="E52" s="215">
        <f>'11.F&amp;V Crop Production details'!D121</f>
        <v>0</v>
      </c>
      <c r="F52" s="215">
        <f>'11.F&amp;V Crop Production details'!E121</f>
        <v>0</v>
      </c>
      <c r="G52" s="215">
        <f>'11.F&amp;V Crop Production details'!F121</f>
        <v>0</v>
      </c>
      <c r="H52" s="215">
        <f>'11.F&amp;V Crop Production details'!G121</f>
        <v>0</v>
      </c>
      <c r="I52" s="215">
        <f>'11.F&amp;V Crop Production details'!H121</f>
        <v>0</v>
      </c>
    </row>
    <row r="53" spans="1:9">
      <c r="A53" s="73">
        <f>'11.F&amp;V Crop Production details'!A122</f>
        <v>0</v>
      </c>
      <c r="B53" s="169"/>
      <c r="C53" s="215">
        <f>'11.F&amp;V Crop Production details'!B122</f>
        <v>0</v>
      </c>
      <c r="D53" s="215">
        <f>'11.F&amp;V Crop Production details'!C122</f>
        <v>0</v>
      </c>
      <c r="E53" s="215">
        <f>'11.F&amp;V Crop Production details'!D122</f>
        <v>0</v>
      </c>
      <c r="F53" s="215">
        <f>'11.F&amp;V Crop Production details'!E122</f>
        <v>0</v>
      </c>
      <c r="G53" s="215">
        <f>'11.F&amp;V Crop Production details'!F122</f>
        <v>0</v>
      </c>
      <c r="H53" s="215">
        <f>'11.F&amp;V Crop Production details'!G122</f>
        <v>0</v>
      </c>
      <c r="I53" s="215">
        <f>'11.F&amp;V Crop Production details'!H122</f>
        <v>0</v>
      </c>
    </row>
    <row r="54" spans="1:9">
      <c r="A54" s="73" t="str">
        <f>'11.F&amp;V Crop Production details'!A123</f>
        <v>Pomegranate</v>
      </c>
      <c r="B54" s="169"/>
      <c r="C54" s="215">
        <f>'11.F&amp;V Crop Production details'!B123</f>
        <v>0</v>
      </c>
      <c r="D54" s="215">
        <f>'11.F&amp;V Crop Production details'!C123</f>
        <v>0</v>
      </c>
      <c r="E54" s="215">
        <f>'11.F&amp;V Crop Production details'!D123</f>
        <v>0</v>
      </c>
      <c r="F54" s="215">
        <f>'11.F&amp;V Crop Production details'!E123</f>
        <v>0</v>
      </c>
      <c r="G54" s="215">
        <f>'11.F&amp;V Crop Production details'!F123</f>
        <v>0</v>
      </c>
      <c r="H54" s="215">
        <f>'11.F&amp;V Crop Production details'!G123</f>
        <v>0</v>
      </c>
      <c r="I54" s="215">
        <f>'11.F&amp;V Crop Production details'!H123</f>
        <v>0</v>
      </c>
    </row>
    <row r="55" spans="1:9">
      <c r="A55" s="73" t="str">
        <f>'11.F&amp;V Crop Production details'!A124</f>
        <v>Custard Apple</v>
      </c>
      <c r="B55" s="169"/>
      <c r="C55" s="215">
        <f>'11.F&amp;V Crop Production details'!B124</f>
        <v>0</v>
      </c>
      <c r="D55" s="215">
        <f>'11.F&amp;V Crop Production details'!C124</f>
        <v>0</v>
      </c>
      <c r="E55" s="215">
        <f>'11.F&amp;V Crop Production details'!D124</f>
        <v>0</v>
      </c>
      <c r="F55" s="215">
        <f>'11.F&amp;V Crop Production details'!E124</f>
        <v>0</v>
      </c>
      <c r="G55" s="215">
        <f>'11.F&amp;V Crop Production details'!F124</f>
        <v>0</v>
      </c>
      <c r="H55" s="215">
        <f>'11.F&amp;V Crop Production details'!G124</f>
        <v>0</v>
      </c>
      <c r="I55" s="215">
        <f>'11.F&amp;V Crop Production details'!H124</f>
        <v>0</v>
      </c>
    </row>
    <row r="56" spans="1:9">
      <c r="A56" s="73" t="str">
        <f>'11.F&amp;V Crop Production details'!A125</f>
        <v>Guava</v>
      </c>
      <c r="B56" s="169"/>
      <c r="C56" s="215">
        <f>'11.F&amp;V Crop Production details'!B125</f>
        <v>0</v>
      </c>
      <c r="D56" s="215">
        <f>'11.F&amp;V Crop Production details'!C125</f>
        <v>0</v>
      </c>
      <c r="E56" s="215">
        <f>'11.F&amp;V Crop Production details'!D125</f>
        <v>0</v>
      </c>
      <c r="F56" s="215">
        <f>'11.F&amp;V Crop Production details'!E125</f>
        <v>0</v>
      </c>
      <c r="G56" s="215">
        <f>'11.F&amp;V Crop Production details'!F125</f>
        <v>0</v>
      </c>
      <c r="H56" s="215">
        <f>'11.F&amp;V Crop Production details'!G125</f>
        <v>0</v>
      </c>
      <c r="I56" s="215">
        <f>'11.F&amp;V Crop Production details'!H125</f>
        <v>0</v>
      </c>
    </row>
    <row r="57" spans="1:9">
      <c r="A57" s="73" t="str">
        <f>'11.F&amp;V Crop Production details'!A126</f>
        <v>Citrus</v>
      </c>
      <c r="B57" s="169"/>
      <c r="C57" s="215">
        <f>'11.F&amp;V Crop Production details'!B126</f>
        <v>0</v>
      </c>
      <c r="D57" s="215">
        <f>'11.F&amp;V Crop Production details'!C126</f>
        <v>0</v>
      </c>
      <c r="E57" s="215">
        <f>'11.F&amp;V Crop Production details'!D126</f>
        <v>0</v>
      </c>
      <c r="F57" s="215">
        <f>'11.F&amp;V Crop Production details'!E126</f>
        <v>0</v>
      </c>
      <c r="G57" s="215">
        <f>'11.F&amp;V Crop Production details'!F126</f>
        <v>0</v>
      </c>
      <c r="H57" s="215">
        <f>'11.F&amp;V Crop Production details'!G126</f>
        <v>0</v>
      </c>
      <c r="I57" s="215">
        <f>'11.F&amp;V Crop Production details'!H126</f>
        <v>0</v>
      </c>
    </row>
    <row r="58" spans="1:9">
      <c r="A58" s="73"/>
      <c r="B58" s="169"/>
      <c r="C58" s="169"/>
      <c r="D58" s="169"/>
      <c r="E58" s="169"/>
      <c r="F58" s="169"/>
      <c r="G58" s="169"/>
      <c r="H58" s="169"/>
      <c r="I58" s="169"/>
    </row>
    <row r="59" spans="1:9">
      <c r="A59" s="75" t="s">
        <v>181</v>
      </c>
      <c r="B59" s="73"/>
      <c r="C59" s="73"/>
      <c r="D59" s="73"/>
      <c r="E59" s="73"/>
      <c r="F59" s="73"/>
      <c r="G59" s="73"/>
      <c r="H59" s="73"/>
      <c r="I59" s="73"/>
    </row>
    <row r="60" spans="1:9" ht="40.5" customHeight="1">
      <c r="A60" s="75" t="s">
        <v>676</v>
      </c>
      <c r="B60" s="317" t="s">
        <v>677</v>
      </c>
      <c r="C60" s="73"/>
      <c r="D60" s="73"/>
      <c r="E60" s="73"/>
      <c r="F60" s="73"/>
      <c r="G60" s="73"/>
      <c r="H60" s="73"/>
      <c r="I60" s="73"/>
    </row>
    <row r="61" spans="1:9">
      <c r="A61" s="75" t="str">
        <f t="shared" ref="A61:A92" si="0">A8</f>
        <v>Kharif Crops</v>
      </c>
      <c r="B61" s="73"/>
      <c r="C61" s="73"/>
      <c r="D61" s="73"/>
      <c r="E61" s="73"/>
      <c r="F61" s="73"/>
      <c r="G61" s="73"/>
      <c r="H61" s="73"/>
      <c r="I61" s="73"/>
    </row>
    <row r="62" spans="1:9">
      <c r="A62" s="73" t="str">
        <f t="shared" si="0"/>
        <v>Soybean</v>
      </c>
      <c r="B62" s="194">
        <v>40</v>
      </c>
      <c r="C62" s="170">
        <f>$B62*C9</f>
        <v>0</v>
      </c>
      <c r="D62" s="170">
        <f>$B62*D9</f>
        <v>0</v>
      </c>
      <c r="E62" s="170">
        <f t="shared" ref="E62:I62" si="1">$B62*E9</f>
        <v>0</v>
      </c>
      <c r="F62" s="170">
        <f t="shared" si="1"/>
        <v>0</v>
      </c>
      <c r="G62" s="170">
        <f t="shared" si="1"/>
        <v>0</v>
      </c>
      <c r="H62" s="170">
        <f t="shared" si="1"/>
        <v>0</v>
      </c>
      <c r="I62" s="170">
        <f t="shared" si="1"/>
        <v>0</v>
      </c>
    </row>
    <row r="63" spans="1:9">
      <c r="A63" s="73" t="str">
        <f t="shared" si="0"/>
        <v>Red Gram/Tur</v>
      </c>
      <c r="B63" s="194">
        <v>5</v>
      </c>
      <c r="C63" s="170">
        <f>$B63*C10</f>
        <v>0</v>
      </c>
      <c r="D63" s="170">
        <f t="shared" ref="D63:I63" si="2">$B$63*D10</f>
        <v>0</v>
      </c>
      <c r="E63" s="170">
        <f t="shared" si="2"/>
        <v>0</v>
      </c>
      <c r="F63" s="170">
        <f t="shared" si="2"/>
        <v>0</v>
      </c>
      <c r="G63" s="170">
        <f t="shared" si="2"/>
        <v>0</v>
      </c>
      <c r="H63" s="170">
        <f t="shared" si="2"/>
        <v>0</v>
      </c>
      <c r="I63" s="170">
        <f t="shared" si="2"/>
        <v>0</v>
      </c>
    </row>
    <row r="64" spans="1:9">
      <c r="A64" s="73" t="str">
        <f t="shared" si="0"/>
        <v>Paddy/Rice</v>
      </c>
      <c r="B64" s="194">
        <v>15</v>
      </c>
      <c r="C64" s="170">
        <f>$B64*C11</f>
        <v>0</v>
      </c>
      <c r="D64" s="170">
        <f t="shared" ref="D64:I64" si="3">$B$64*D11</f>
        <v>0</v>
      </c>
      <c r="E64" s="170">
        <f t="shared" si="3"/>
        <v>0</v>
      </c>
      <c r="F64" s="170">
        <f t="shared" si="3"/>
        <v>0</v>
      </c>
      <c r="G64" s="170">
        <f t="shared" si="3"/>
        <v>0</v>
      </c>
      <c r="H64" s="170">
        <f t="shared" si="3"/>
        <v>0</v>
      </c>
      <c r="I64" s="170">
        <f t="shared" si="3"/>
        <v>0</v>
      </c>
    </row>
    <row r="65" spans="1:9">
      <c r="A65" s="73" t="str">
        <f t="shared" si="0"/>
        <v>Green Gram/ Moong</v>
      </c>
      <c r="B65" s="194">
        <v>15</v>
      </c>
      <c r="C65" s="170">
        <f>$B65*C12</f>
        <v>0</v>
      </c>
      <c r="D65" s="170">
        <f t="shared" ref="D65:I67" si="4">$B65*D12</f>
        <v>0</v>
      </c>
      <c r="E65" s="170">
        <f t="shared" si="4"/>
        <v>0</v>
      </c>
      <c r="F65" s="170">
        <f t="shared" si="4"/>
        <v>0</v>
      </c>
      <c r="G65" s="170">
        <f t="shared" si="4"/>
        <v>0</v>
      </c>
      <c r="H65" s="170">
        <f t="shared" si="4"/>
        <v>0</v>
      </c>
      <c r="I65" s="170">
        <f t="shared" si="4"/>
        <v>0</v>
      </c>
    </row>
    <row r="66" spans="1:9">
      <c r="A66" s="73" t="str">
        <f t="shared" si="0"/>
        <v>Maize</v>
      </c>
      <c r="B66" s="194">
        <v>25</v>
      </c>
      <c r="C66" s="170">
        <f>$B66*C13</f>
        <v>0</v>
      </c>
      <c r="D66" s="170">
        <f t="shared" si="4"/>
        <v>0</v>
      </c>
      <c r="E66" s="170">
        <f t="shared" si="4"/>
        <v>0</v>
      </c>
      <c r="F66" s="170">
        <f t="shared" si="4"/>
        <v>0</v>
      </c>
      <c r="G66" s="170">
        <f t="shared" si="4"/>
        <v>0</v>
      </c>
      <c r="H66" s="170">
        <f t="shared" si="4"/>
        <v>0</v>
      </c>
      <c r="I66" s="170">
        <f t="shared" si="4"/>
        <v>0</v>
      </c>
    </row>
    <row r="67" spans="1:9">
      <c r="A67" s="73" t="str">
        <f t="shared" si="0"/>
        <v>Black Gram/Udid</v>
      </c>
      <c r="B67" s="194">
        <v>15</v>
      </c>
      <c r="C67" s="170">
        <f>$B67*C14</f>
        <v>0</v>
      </c>
      <c r="D67" s="170">
        <f t="shared" si="4"/>
        <v>0</v>
      </c>
      <c r="E67" s="170">
        <f t="shared" si="4"/>
        <v>0</v>
      </c>
      <c r="F67" s="170">
        <f t="shared" si="4"/>
        <v>0</v>
      </c>
      <c r="G67" s="170">
        <f t="shared" si="4"/>
        <v>0</v>
      </c>
      <c r="H67" s="170">
        <f t="shared" si="4"/>
        <v>0</v>
      </c>
      <c r="I67" s="170">
        <f t="shared" si="4"/>
        <v>0</v>
      </c>
    </row>
    <row r="68" spans="1:9">
      <c r="A68" s="73" t="str">
        <f t="shared" si="0"/>
        <v>Bajra</v>
      </c>
      <c r="B68" s="194">
        <v>5</v>
      </c>
      <c r="C68" s="170">
        <f t="shared" ref="C68:I68" si="5">$B68*C15</f>
        <v>0</v>
      </c>
      <c r="D68" s="170">
        <f t="shared" si="5"/>
        <v>0</v>
      </c>
      <c r="E68" s="170">
        <f t="shared" si="5"/>
        <v>0</v>
      </c>
      <c r="F68" s="170">
        <f t="shared" si="5"/>
        <v>0</v>
      </c>
      <c r="G68" s="170">
        <f t="shared" si="5"/>
        <v>0</v>
      </c>
      <c r="H68" s="170">
        <f t="shared" si="5"/>
        <v>0</v>
      </c>
      <c r="I68" s="170">
        <f t="shared" si="5"/>
        <v>0</v>
      </c>
    </row>
    <row r="69" spans="1:9">
      <c r="A69" s="73" t="str">
        <f t="shared" si="0"/>
        <v>Jawar</v>
      </c>
      <c r="B69" s="194">
        <v>5</v>
      </c>
      <c r="C69" s="170">
        <f t="shared" ref="C69:I69" si="6">$B69*C16</f>
        <v>0</v>
      </c>
      <c r="D69" s="170">
        <f t="shared" si="6"/>
        <v>0</v>
      </c>
      <c r="E69" s="170">
        <f t="shared" si="6"/>
        <v>0</v>
      </c>
      <c r="F69" s="170">
        <f t="shared" si="6"/>
        <v>0</v>
      </c>
      <c r="G69" s="170">
        <f t="shared" si="6"/>
        <v>0</v>
      </c>
      <c r="H69" s="170">
        <f t="shared" si="6"/>
        <v>0</v>
      </c>
      <c r="I69" s="170">
        <f t="shared" si="6"/>
        <v>0</v>
      </c>
    </row>
    <row r="70" spans="1:9">
      <c r="A70" s="75" t="str">
        <f t="shared" si="0"/>
        <v>Rabi Crop</v>
      </c>
      <c r="B70" s="194"/>
      <c r="C70" s="170"/>
      <c r="D70" s="170"/>
      <c r="E70" s="170"/>
      <c r="F70" s="170"/>
      <c r="G70" s="170"/>
      <c r="H70" s="170"/>
      <c r="I70" s="170"/>
    </row>
    <row r="71" spans="1:9">
      <c r="A71" s="73" t="str">
        <f t="shared" si="0"/>
        <v>Wheat</v>
      </c>
      <c r="B71" s="194">
        <v>20</v>
      </c>
      <c r="C71" s="170">
        <f t="shared" ref="C71:I71" si="7">$B71*C18</f>
        <v>0</v>
      </c>
      <c r="D71" s="170">
        <f t="shared" si="7"/>
        <v>0</v>
      </c>
      <c r="E71" s="170">
        <f t="shared" si="7"/>
        <v>0</v>
      </c>
      <c r="F71" s="170">
        <f t="shared" si="7"/>
        <v>0</v>
      </c>
      <c r="G71" s="170">
        <f t="shared" si="7"/>
        <v>0</v>
      </c>
      <c r="H71" s="170">
        <f t="shared" si="7"/>
        <v>0</v>
      </c>
      <c r="I71" s="170">
        <f t="shared" si="7"/>
        <v>0</v>
      </c>
    </row>
    <row r="72" spans="1:9">
      <c r="A72" s="73" t="str">
        <f t="shared" si="0"/>
        <v>Bengal Gram/Channa</v>
      </c>
      <c r="B72" s="194">
        <v>25</v>
      </c>
      <c r="C72" s="170">
        <f t="shared" ref="C72:I72" si="8">$B72*C19</f>
        <v>0</v>
      </c>
      <c r="D72" s="170">
        <f t="shared" si="8"/>
        <v>0</v>
      </c>
      <c r="E72" s="170">
        <f t="shared" si="8"/>
        <v>0</v>
      </c>
      <c r="F72" s="170">
        <f t="shared" si="8"/>
        <v>0</v>
      </c>
      <c r="G72" s="170">
        <f t="shared" si="8"/>
        <v>0</v>
      </c>
      <c r="H72" s="170">
        <f t="shared" si="8"/>
        <v>0</v>
      </c>
      <c r="I72" s="170">
        <f t="shared" si="8"/>
        <v>0</v>
      </c>
    </row>
    <row r="73" spans="1:9">
      <c r="A73" s="73" t="str">
        <f t="shared" si="0"/>
        <v>Jawar</v>
      </c>
      <c r="B73" s="194">
        <v>5</v>
      </c>
      <c r="C73" s="170">
        <f t="shared" ref="C73:I73" si="9">$B73*C20</f>
        <v>0</v>
      </c>
      <c r="D73" s="170">
        <f t="shared" si="9"/>
        <v>0</v>
      </c>
      <c r="E73" s="170">
        <f t="shared" si="9"/>
        <v>0</v>
      </c>
      <c r="F73" s="170">
        <f t="shared" si="9"/>
        <v>0</v>
      </c>
      <c r="G73" s="170">
        <f t="shared" si="9"/>
        <v>0</v>
      </c>
      <c r="H73" s="170">
        <f t="shared" si="9"/>
        <v>0</v>
      </c>
      <c r="I73" s="170">
        <f t="shared" si="9"/>
        <v>0</v>
      </c>
    </row>
    <row r="74" spans="1:9">
      <c r="A74" s="73" t="str">
        <f t="shared" si="0"/>
        <v>Maize</v>
      </c>
      <c r="B74" s="194">
        <v>20</v>
      </c>
      <c r="C74" s="170">
        <f t="shared" ref="C74:I74" si="10">$B74*C21</f>
        <v>0</v>
      </c>
      <c r="D74" s="170">
        <f t="shared" si="10"/>
        <v>0</v>
      </c>
      <c r="E74" s="170">
        <f t="shared" si="10"/>
        <v>0</v>
      </c>
      <c r="F74" s="170">
        <f t="shared" si="10"/>
        <v>0</v>
      </c>
      <c r="G74" s="170">
        <f t="shared" si="10"/>
        <v>0</v>
      </c>
      <c r="H74" s="170">
        <f t="shared" si="10"/>
        <v>0</v>
      </c>
      <c r="I74" s="170">
        <f t="shared" si="10"/>
        <v>0</v>
      </c>
    </row>
    <row r="75" spans="1:9">
      <c r="A75" s="73" t="str">
        <f t="shared" si="0"/>
        <v>Safflower</v>
      </c>
      <c r="B75" s="194"/>
      <c r="C75" s="170">
        <f t="shared" ref="C75:I75" si="11">$B75*C22</f>
        <v>0</v>
      </c>
      <c r="D75" s="170">
        <f t="shared" si="11"/>
        <v>0</v>
      </c>
      <c r="E75" s="170">
        <f t="shared" si="11"/>
        <v>0</v>
      </c>
      <c r="F75" s="170">
        <f t="shared" si="11"/>
        <v>0</v>
      </c>
      <c r="G75" s="170">
        <f t="shared" si="11"/>
        <v>0</v>
      </c>
      <c r="H75" s="170">
        <f t="shared" si="11"/>
        <v>0</v>
      </c>
      <c r="I75" s="170">
        <f t="shared" si="11"/>
        <v>0</v>
      </c>
    </row>
    <row r="76" spans="1:9">
      <c r="A76" s="73">
        <f t="shared" si="0"/>
        <v>0</v>
      </c>
      <c r="B76" s="194"/>
      <c r="C76" s="170">
        <f t="shared" ref="C76:I76" si="12">$B76*C23</f>
        <v>0</v>
      </c>
      <c r="D76" s="170">
        <f t="shared" si="12"/>
        <v>0</v>
      </c>
      <c r="E76" s="170">
        <f t="shared" si="12"/>
        <v>0</v>
      </c>
      <c r="F76" s="170">
        <f t="shared" si="12"/>
        <v>0</v>
      </c>
      <c r="G76" s="170">
        <f t="shared" si="12"/>
        <v>0</v>
      </c>
      <c r="H76" s="170">
        <f t="shared" si="12"/>
        <v>0</v>
      </c>
      <c r="I76" s="170">
        <f t="shared" si="12"/>
        <v>0</v>
      </c>
    </row>
    <row r="77" spans="1:9">
      <c r="A77" s="73">
        <f t="shared" si="0"/>
        <v>0</v>
      </c>
      <c r="B77" s="194"/>
      <c r="C77" s="170">
        <f t="shared" ref="C77:I77" si="13">$B77*C24</f>
        <v>0</v>
      </c>
      <c r="D77" s="170">
        <f t="shared" si="13"/>
        <v>0</v>
      </c>
      <c r="E77" s="170">
        <f t="shared" si="13"/>
        <v>0</v>
      </c>
      <c r="F77" s="170">
        <f t="shared" si="13"/>
        <v>0</v>
      </c>
      <c r="G77" s="170">
        <f t="shared" si="13"/>
        <v>0</v>
      </c>
      <c r="H77" s="170">
        <f t="shared" si="13"/>
        <v>0</v>
      </c>
      <c r="I77" s="170">
        <f t="shared" si="13"/>
        <v>0</v>
      </c>
    </row>
    <row r="78" spans="1:9">
      <c r="A78" s="73">
        <f t="shared" si="0"/>
        <v>0</v>
      </c>
      <c r="B78" s="194"/>
      <c r="C78" s="170">
        <f t="shared" ref="C78:I78" si="14">$B78*C25</f>
        <v>0</v>
      </c>
      <c r="D78" s="170">
        <f t="shared" si="14"/>
        <v>0</v>
      </c>
      <c r="E78" s="170">
        <f t="shared" si="14"/>
        <v>0</v>
      </c>
      <c r="F78" s="170">
        <f t="shared" si="14"/>
        <v>0</v>
      </c>
      <c r="G78" s="170">
        <f t="shared" si="14"/>
        <v>0</v>
      </c>
      <c r="H78" s="170">
        <f t="shared" si="14"/>
        <v>0</v>
      </c>
      <c r="I78" s="170">
        <f t="shared" si="14"/>
        <v>0</v>
      </c>
    </row>
    <row r="79" spans="1:9">
      <c r="A79" s="75" t="str">
        <f t="shared" si="0"/>
        <v>Summer</v>
      </c>
      <c r="B79" s="194"/>
      <c r="C79" s="170"/>
      <c r="D79" s="170"/>
      <c r="E79" s="170"/>
      <c r="F79" s="170"/>
      <c r="G79" s="170"/>
      <c r="H79" s="170"/>
      <c r="I79" s="170"/>
    </row>
    <row r="80" spans="1:9">
      <c r="A80" s="73" t="str">
        <f t="shared" si="0"/>
        <v>Groundnut</v>
      </c>
      <c r="B80" s="194"/>
      <c r="C80" s="170">
        <f t="shared" ref="C80:I80" si="15">$B80*C27</f>
        <v>0</v>
      </c>
      <c r="D80" s="170">
        <f t="shared" si="15"/>
        <v>0</v>
      </c>
      <c r="E80" s="170">
        <f t="shared" si="15"/>
        <v>0</v>
      </c>
      <c r="F80" s="170">
        <f t="shared" si="15"/>
        <v>0</v>
      </c>
      <c r="G80" s="170">
        <f t="shared" si="15"/>
        <v>0</v>
      </c>
      <c r="H80" s="170">
        <f t="shared" si="15"/>
        <v>0</v>
      </c>
      <c r="I80" s="170">
        <f t="shared" si="15"/>
        <v>0</v>
      </c>
    </row>
    <row r="81" spans="1:9">
      <c r="A81" s="73">
        <f t="shared" si="0"/>
        <v>0</v>
      </c>
      <c r="B81" s="194"/>
      <c r="C81" s="170">
        <f t="shared" ref="C81:I81" si="16">$B81*C28</f>
        <v>0</v>
      </c>
      <c r="D81" s="170">
        <f t="shared" si="16"/>
        <v>0</v>
      </c>
      <c r="E81" s="170">
        <f t="shared" si="16"/>
        <v>0</v>
      </c>
      <c r="F81" s="170">
        <f t="shared" si="16"/>
        <v>0</v>
      </c>
      <c r="G81" s="170">
        <f t="shared" si="16"/>
        <v>0</v>
      </c>
      <c r="H81" s="170">
        <f t="shared" si="16"/>
        <v>0</v>
      </c>
      <c r="I81" s="170">
        <f t="shared" si="16"/>
        <v>0</v>
      </c>
    </row>
    <row r="82" spans="1:9">
      <c r="A82" s="73">
        <f t="shared" si="0"/>
        <v>0</v>
      </c>
      <c r="B82" s="194"/>
      <c r="C82" s="170">
        <f t="shared" ref="C82:I82" si="17">$B82*C29</f>
        <v>0</v>
      </c>
      <c r="D82" s="170">
        <f t="shared" si="17"/>
        <v>0</v>
      </c>
      <c r="E82" s="170">
        <f t="shared" si="17"/>
        <v>0</v>
      </c>
      <c r="F82" s="170">
        <f t="shared" si="17"/>
        <v>0</v>
      </c>
      <c r="G82" s="170">
        <f t="shared" si="17"/>
        <v>0</v>
      </c>
      <c r="H82" s="170">
        <f t="shared" si="17"/>
        <v>0</v>
      </c>
      <c r="I82" s="170">
        <f t="shared" si="17"/>
        <v>0</v>
      </c>
    </row>
    <row r="83" spans="1:9">
      <c r="A83" s="73">
        <f t="shared" si="0"/>
        <v>0</v>
      </c>
      <c r="B83" s="194"/>
      <c r="C83" s="170">
        <f t="shared" ref="C83:I83" si="18">$B83*C30</f>
        <v>0</v>
      </c>
      <c r="D83" s="170">
        <f t="shared" si="18"/>
        <v>0</v>
      </c>
      <c r="E83" s="170">
        <f t="shared" si="18"/>
        <v>0</v>
      </c>
      <c r="F83" s="170">
        <f t="shared" si="18"/>
        <v>0</v>
      </c>
      <c r="G83" s="170">
        <f t="shared" si="18"/>
        <v>0</v>
      </c>
      <c r="H83" s="170">
        <f t="shared" si="18"/>
        <v>0</v>
      </c>
      <c r="I83" s="170">
        <f t="shared" si="18"/>
        <v>0</v>
      </c>
    </row>
    <row r="84" spans="1:9">
      <c r="A84" s="73">
        <f t="shared" si="0"/>
        <v>0</v>
      </c>
      <c r="B84" s="194"/>
      <c r="C84" s="170">
        <f t="shared" ref="C84:I84" si="19">$B84*C31</f>
        <v>0</v>
      </c>
      <c r="D84" s="170">
        <f t="shared" si="19"/>
        <v>0</v>
      </c>
      <c r="E84" s="170">
        <f t="shared" si="19"/>
        <v>0</v>
      </c>
      <c r="F84" s="170">
        <f t="shared" si="19"/>
        <v>0</v>
      </c>
      <c r="G84" s="170">
        <f t="shared" si="19"/>
        <v>0</v>
      </c>
      <c r="H84" s="170">
        <f t="shared" si="19"/>
        <v>0</v>
      </c>
      <c r="I84" s="170">
        <f t="shared" si="19"/>
        <v>0</v>
      </c>
    </row>
    <row r="85" spans="1:9">
      <c r="A85" s="75" t="str">
        <f t="shared" si="0"/>
        <v>Fruit  &amp; Vegetables Crop Production Details</v>
      </c>
      <c r="B85" s="194"/>
      <c r="C85" s="170"/>
      <c r="D85" s="170"/>
      <c r="E85" s="170"/>
      <c r="F85" s="170"/>
      <c r="G85" s="170"/>
      <c r="H85" s="170"/>
      <c r="I85" s="170"/>
    </row>
    <row r="86" spans="1:9">
      <c r="A86" s="73" t="str">
        <f t="shared" si="0"/>
        <v>Onion</v>
      </c>
      <c r="B86" s="194"/>
      <c r="C86" s="170">
        <f t="shared" ref="C86:I86" si="20">$B86*C33</f>
        <v>0</v>
      </c>
      <c r="D86" s="170">
        <f t="shared" si="20"/>
        <v>0</v>
      </c>
      <c r="E86" s="170">
        <f t="shared" si="20"/>
        <v>0</v>
      </c>
      <c r="F86" s="170">
        <f t="shared" si="20"/>
        <v>0</v>
      </c>
      <c r="G86" s="170">
        <f t="shared" si="20"/>
        <v>0</v>
      </c>
      <c r="H86" s="170">
        <f t="shared" si="20"/>
        <v>0</v>
      </c>
      <c r="I86" s="170">
        <f t="shared" si="20"/>
        <v>0</v>
      </c>
    </row>
    <row r="87" spans="1:9">
      <c r="A87" s="73" t="str">
        <f t="shared" si="0"/>
        <v>Tomato</v>
      </c>
      <c r="B87" s="194"/>
      <c r="C87" s="170">
        <f t="shared" ref="C87:I87" si="21">$B87*C34</f>
        <v>0</v>
      </c>
      <c r="D87" s="170">
        <f t="shared" si="21"/>
        <v>0</v>
      </c>
      <c r="E87" s="170">
        <f t="shared" si="21"/>
        <v>0</v>
      </c>
      <c r="F87" s="170">
        <f t="shared" si="21"/>
        <v>0</v>
      </c>
      <c r="G87" s="170">
        <f t="shared" si="21"/>
        <v>0</v>
      </c>
      <c r="H87" s="170">
        <f t="shared" si="21"/>
        <v>0</v>
      </c>
      <c r="I87" s="170">
        <f t="shared" si="21"/>
        <v>0</v>
      </c>
    </row>
    <row r="88" spans="1:9">
      <c r="A88" s="73" t="str">
        <f t="shared" si="0"/>
        <v>Okra</v>
      </c>
      <c r="B88" s="194"/>
      <c r="C88" s="170">
        <f t="shared" ref="C88:I88" si="22">$B88*C35</f>
        <v>0</v>
      </c>
      <c r="D88" s="170">
        <f t="shared" si="22"/>
        <v>0</v>
      </c>
      <c r="E88" s="170">
        <f t="shared" si="22"/>
        <v>0</v>
      </c>
      <c r="F88" s="170">
        <f t="shared" si="22"/>
        <v>0</v>
      </c>
      <c r="G88" s="170">
        <f t="shared" si="22"/>
        <v>0</v>
      </c>
      <c r="H88" s="170">
        <f t="shared" si="22"/>
        <v>0</v>
      </c>
      <c r="I88" s="170">
        <f t="shared" si="22"/>
        <v>0</v>
      </c>
    </row>
    <row r="89" spans="1:9">
      <c r="A89" s="73" t="str">
        <f t="shared" si="0"/>
        <v>Chilli</v>
      </c>
      <c r="B89" s="194"/>
      <c r="C89" s="170">
        <f t="shared" ref="C89:I89" si="23">$B89*C36</f>
        <v>0</v>
      </c>
      <c r="D89" s="170">
        <f t="shared" si="23"/>
        <v>0</v>
      </c>
      <c r="E89" s="170">
        <f t="shared" si="23"/>
        <v>0</v>
      </c>
      <c r="F89" s="170">
        <f t="shared" si="23"/>
        <v>0</v>
      </c>
      <c r="G89" s="170">
        <f t="shared" si="23"/>
        <v>0</v>
      </c>
      <c r="H89" s="170">
        <f t="shared" si="23"/>
        <v>0</v>
      </c>
      <c r="I89" s="170">
        <f t="shared" si="23"/>
        <v>0</v>
      </c>
    </row>
    <row r="90" spans="1:9">
      <c r="A90" s="73" t="str">
        <f t="shared" si="0"/>
        <v>Potato</v>
      </c>
      <c r="B90" s="194"/>
      <c r="C90" s="170">
        <f t="shared" ref="C90:I90" si="24">$B90*C37</f>
        <v>0</v>
      </c>
      <c r="D90" s="170">
        <f t="shared" si="24"/>
        <v>0</v>
      </c>
      <c r="E90" s="170">
        <f t="shared" si="24"/>
        <v>0</v>
      </c>
      <c r="F90" s="170">
        <f t="shared" si="24"/>
        <v>0</v>
      </c>
      <c r="G90" s="170">
        <f t="shared" si="24"/>
        <v>0</v>
      </c>
      <c r="H90" s="170">
        <f t="shared" si="24"/>
        <v>0</v>
      </c>
      <c r="I90" s="170">
        <f t="shared" si="24"/>
        <v>0</v>
      </c>
    </row>
    <row r="91" spans="1:9">
      <c r="A91" s="73">
        <f t="shared" si="0"/>
        <v>0</v>
      </c>
      <c r="B91" s="194"/>
      <c r="C91" s="170">
        <f t="shared" ref="C91:I91" si="25">$B91*C38</f>
        <v>0</v>
      </c>
      <c r="D91" s="170">
        <f t="shared" si="25"/>
        <v>0</v>
      </c>
      <c r="E91" s="170">
        <f t="shared" si="25"/>
        <v>0</v>
      </c>
      <c r="F91" s="170">
        <f t="shared" si="25"/>
        <v>0</v>
      </c>
      <c r="G91" s="170">
        <f t="shared" si="25"/>
        <v>0</v>
      </c>
      <c r="H91" s="170">
        <f t="shared" si="25"/>
        <v>0</v>
      </c>
      <c r="I91" s="170">
        <f t="shared" si="25"/>
        <v>0</v>
      </c>
    </row>
    <row r="92" spans="1:9">
      <c r="A92" s="73">
        <f t="shared" si="0"/>
        <v>0</v>
      </c>
      <c r="B92" s="194"/>
      <c r="C92" s="170">
        <f t="shared" ref="C92:I92" si="26">$B92*C39</f>
        <v>0</v>
      </c>
      <c r="D92" s="170">
        <f t="shared" si="26"/>
        <v>0</v>
      </c>
      <c r="E92" s="170">
        <f t="shared" si="26"/>
        <v>0</v>
      </c>
      <c r="F92" s="170">
        <f t="shared" si="26"/>
        <v>0</v>
      </c>
      <c r="G92" s="170">
        <f t="shared" si="26"/>
        <v>0</v>
      </c>
      <c r="H92" s="170">
        <f t="shared" si="26"/>
        <v>0</v>
      </c>
      <c r="I92" s="170">
        <f t="shared" si="26"/>
        <v>0</v>
      </c>
    </row>
    <row r="93" spans="1:9">
      <c r="A93" s="73">
        <f t="shared" ref="A93:A110" si="27">A40</f>
        <v>0</v>
      </c>
      <c r="B93" s="194"/>
      <c r="C93" s="170">
        <f t="shared" ref="C93:I93" si="28">$B93*C40</f>
        <v>0</v>
      </c>
      <c r="D93" s="170">
        <f t="shared" si="28"/>
        <v>0</v>
      </c>
      <c r="E93" s="170">
        <f t="shared" si="28"/>
        <v>0</v>
      </c>
      <c r="F93" s="170">
        <f t="shared" si="28"/>
        <v>0</v>
      </c>
      <c r="G93" s="170">
        <f t="shared" si="28"/>
        <v>0</v>
      </c>
      <c r="H93" s="170">
        <f t="shared" si="28"/>
        <v>0</v>
      </c>
      <c r="I93" s="170">
        <f t="shared" si="28"/>
        <v>0</v>
      </c>
    </row>
    <row r="94" spans="1:9">
      <c r="A94" s="73">
        <f t="shared" si="27"/>
        <v>0</v>
      </c>
      <c r="B94" s="194"/>
      <c r="C94" s="170">
        <f t="shared" ref="C94:I94" si="29">$B94*C41</f>
        <v>0</v>
      </c>
      <c r="D94" s="170">
        <f t="shared" si="29"/>
        <v>0</v>
      </c>
      <c r="E94" s="170">
        <f t="shared" si="29"/>
        <v>0</v>
      </c>
      <c r="F94" s="170">
        <f t="shared" si="29"/>
        <v>0</v>
      </c>
      <c r="G94" s="170">
        <f t="shared" si="29"/>
        <v>0</v>
      </c>
      <c r="H94" s="170">
        <f t="shared" si="29"/>
        <v>0</v>
      </c>
      <c r="I94" s="170">
        <f t="shared" si="29"/>
        <v>0</v>
      </c>
    </row>
    <row r="95" spans="1:9">
      <c r="A95" s="73" t="str">
        <f t="shared" si="27"/>
        <v>Onion</v>
      </c>
      <c r="B95" s="194"/>
      <c r="C95" s="170">
        <f t="shared" ref="C95:I95" si="30">$B95*C42</f>
        <v>0</v>
      </c>
      <c r="D95" s="170">
        <f t="shared" si="30"/>
        <v>0</v>
      </c>
      <c r="E95" s="170">
        <f t="shared" si="30"/>
        <v>0</v>
      </c>
      <c r="F95" s="170">
        <f t="shared" si="30"/>
        <v>0</v>
      </c>
      <c r="G95" s="170">
        <f t="shared" si="30"/>
        <v>0</v>
      </c>
      <c r="H95" s="170">
        <f t="shared" si="30"/>
        <v>0</v>
      </c>
      <c r="I95" s="170">
        <f t="shared" si="30"/>
        <v>0</v>
      </c>
    </row>
    <row r="96" spans="1:9">
      <c r="A96" s="73" t="str">
        <f t="shared" si="27"/>
        <v>Tomato</v>
      </c>
      <c r="B96" s="194"/>
      <c r="C96" s="170">
        <f t="shared" ref="C96:I96" si="31">$B96*C43</f>
        <v>0</v>
      </c>
      <c r="D96" s="170">
        <f t="shared" si="31"/>
        <v>0</v>
      </c>
      <c r="E96" s="170">
        <f t="shared" si="31"/>
        <v>0</v>
      </c>
      <c r="F96" s="170">
        <f t="shared" si="31"/>
        <v>0</v>
      </c>
      <c r="G96" s="170">
        <f t="shared" si="31"/>
        <v>0</v>
      </c>
      <c r="H96" s="170">
        <f t="shared" si="31"/>
        <v>0</v>
      </c>
      <c r="I96" s="170">
        <f t="shared" si="31"/>
        <v>0</v>
      </c>
    </row>
    <row r="97" spans="1:9">
      <c r="A97" s="73" t="str">
        <f t="shared" si="27"/>
        <v>Okra</v>
      </c>
      <c r="B97" s="194"/>
      <c r="C97" s="170">
        <f t="shared" ref="C97:I97" si="32">$B97*C44</f>
        <v>0</v>
      </c>
      <c r="D97" s="170">
        <f t="shared" si="32"/>
        <v>0</v>
      </c>
      <c r="E97" s="170">
        <f t="shared" si="32"/>
        <v>0</v>
      </c>
      <c r="F97" s="170">
        <f t="shared" si="32"/>
        <v>0</v>
      </c>
      <c r="G97" s="170">
        <f t="shared" si="32"/>
        <v>0</v>
      </c>
      <c r="H97" s="170">
        <f t="shared" si="32"/>
        <v>0</v>
      </c>
      <c r="I97" s="170">
        <f t="shared" si="32"/>
        <v>0</v>
      </c>
    </row>
    <row r="98" spans="1:9">
      <c r="A98" s="73" t="str">
        <f t="shared" si="27"/>
        <v>Chilli</v>
      </c>
      <c r="B98" s="194"/>
      <c r="C98" s="170">
        <f t="shared" ref="C98:I98" si="33">$B98*C45</f>
        <v>0</v>
      </c>
      <c r="D98" s="170">
        <f t="shared" si="33"/>
        <v>0</v>
      </c>
      <c r="E98" s="170">
        <f t="shared" si="33"/>
        <v>0</v>
      </c>
      <c r="F98" s="170">
        <f t="shared" si="33"/>
        <v>0</v>
      </c>
      <c r="G98" s="170">
        <f t="shared" si="33"/>
        <v>0</v>
      </c>
      <c r="H98" s="170">
        <f t="shared" si="33"/>
        <v>0</v>
      </c>
      <c r="I98" s="170">
        <f t="shared" si="33"/>
        <v>0</v>
      </c>
    </row>
    <row r="99" spans="1:9">
      <c r="A99" s="73" t="str">
        <f t="shared" si="27"/>
        <v>Brinjal</v>
      </c>
      <c r="B99" s="194"/>
      <c r="C99" s="170">
        <f t="shared" ref="C99:I99" si="34">$B99*C46</f>
        <v>0</v>
      </c>
      <c r="D99" s="170">
        <f t="shared" si="34"/>
        <v>0</v>
      </c>
      <c r="E99" s="170">
        <f t="shared" si="34"/>
        <v>0</v>
      </c>
      <c r="F99" s="170">
        <f t="shared" si="34"/>
        <v>0</v>
      </c>
      <c r="G99" s="170">
        <f t="shared" si="34"/>
        <v>0</v>
      </c>
      <c r="H99" s="170">
        <f t="shared" si="34"/>
        <v>0</v>
      </c>
      <c r="I99" s="170">
        <f t="shared" si="34"/>
        <v>0</v>
      </c>
    </row>
    <row r="100" spans="1:9">
      <c r="A100" s="73">
        <f t="shared" si="27"/>
        <v>0</v>
      </c>
      <c r="B100" s="194"/>
      <c r="C100" s="170">
        <f t="shared" ref="C100:I100" si="35">$B100*C47</f>
        <v>0</v>
      </c>
      <c r="D100" s="170">
        <f t="shared" si="35"/>
        <v>0</v>
      </c>
      <c r="E100" s="170">
        <f t="shared" si="35"/>
        <v>0</v>
      </c>
      <c r="F100" s="170">
        <f t="shared" si="35"/>
        <v>0</v>
      </c>
      <c r="G100" s="170">
        <f t="shared" si="35"/>
        <v>0</v>
      </c>
      <c r="H100" s="170">
        <f t="shared" si="35"/>
        <v>0</v>
      </c>
      <c r="I100" s="170">
        <f t="shared" si="35"/>
        <v>0</v>
      </c>
    </row>
    <row r="101" spans="1:9">
      <c r="A101" s="73">
        <f t="shared" si="27"/>
        <v>0</v>
      </c>
      <c r="B101" s="194"/>
      <c r="C101" s="170">
        <f t="shared" ref="C101:I101" si="36">$B101*C48</f>
        <v>0</v>
      </c>
      <c r="D101" s="170">
        <f t="shared" si="36"/>
        <v>0</v>
      </c>
      <c r="E101" s="170">
        <f t="shared" si="36"/>
        <v>0</v>
      </c>
      <c r="F101" s="170">
        <f t="shared" si="36"/>
        <v>0</v>
      </c>
      <c r="G101" s="170">
        <f t="shared" si="36"/>
        <v>0</v>
      </c>
      <c r="H101" s="170">
        <f t="shared" si="36"/>
        <v>0</v>
      </c>
      <c r="I101" s="170">
        <f t="shared" si="36"/>
        <v>0</v>
      </c>
    </row>
    <row r="102" spans="1:9">
      <c r="A102" s="73">
        <f t="shared" si="27"/>
        <v>0</v>
      </c>
      <c r="B102" s="194"/>
      <c r="C102" s="170">
        <f t="shared" ref="C102:I102" si="37">$B102*C49</f>
        <v>0</v>
      </c>
      <c r="D102" s="170">
        <f t="shared" si="37"/>
        <v>0</v>
      </c>
      <c r="E102" s="170">
        <f t="shared" si="37"/>
        <v>0</v>
      </c>
      <c r="F102" s="170">
        <f t="shared" si="37"/>
        <v>0</v>
      </c>
      <c r="G102" s="170">
        <f t="shared" si="37"/>
        <v>0</v>
      </c>
      <c r="H102" s="170">
        <f t="shared" si="37"/>
        <v>0</v>
      </c>
      <c r="I102" s="170">
        <f t="shared" si="37"/>
        <v>0</v>
      </c>
    </row>
    <row r="103" spans="1:9">
      <c r="A103" s="73">
        <f t="shared" si="27"/>
        <v>0</v>
      </c>
      <c r="B103" s="194"/>
      <c r="C103" s="170">
        <f t="shared" ref="C103:I103" si="38">$B103*C50</f>
        <v>0</v>
      </c>
      <c r="D103" s="170">
        <f t="shared" si="38"/>
        <v>0</v>
      </c>
      <c r="E103" s="170">
        <f t="shared" si="38"/>
        <v>0</v>
      </c>
      <c r="F103" s="170">
        <f t="shared" si="38"/>
        <v>0</v>
      </c>
      <c r="G103" s="170">
        <f t="shared" si="38"/>
        <v>0</v>
      </c>
      <c r="H103" s="170">
        <f t="shared" si="38"/>
        <v>0</v>
      </c>
      <c r="I103" s="170">
        <f t="shared" si="38"/>
        <v>0</v>
      </c>
    </row>
    <row r="104" spans="1:9">
      <c r="A104" s="73">
        <f t="shared" si="27"/>
        <v>0</v>
      </c>
      <c r="B104" s="194"/>
      <c r="C104" s="170">
        <f t="shared" ref="C104:I104" si="39">$B104*C51</f>
        <v>0</v>
      </c>
      <c r="D104" s="170">
        <f t="shared" si="39"/>
        <v>0</v>
      </c>
      <c r="E104" s="170">
        <f t="shared" si="39"/>
        <v>0</v>
      </c>
      <c r="F104" s="170">
        <f t="shared" si="39"/>
        <v>0</v>
      </c>
      <c r="G104" s="170">
        <f t="shared" si="39"/>
        <v>0</v>
      </c>
      <c r="H104" s="170">
        <f t="shared" si="39"/>
        <v>0</v>
      </c>
      <c r="I104" s="170">
        <f t="shared" si="39"/>
        <v>0</v>
      </c>
    </row>
    <row r="105" spans="1:9">
      <c r="A105" s="73">
        <f t="shared" si="27"/>
        <v>0</v>
      </c>
      <c r="B105" s="194"/>
      <c r="C105" s="170">
        <f t="shared" ref="C105:I105" si="40">$B105*C52</f>
        <v>0</v>
      </c>
      <c r="D105" s="170">
        <f t="shared" si="40"/>
        <v>0</v>
      </c>
      <c r="E105" s="170">
        <f t="shared" si="40"/>
        <v>0</v>
      </c>
      <c r="F105" s="170">
        <f t="shared" si="40"/>
        <v>0</v>
      </c>
      <c r="G105" s="170">
        <f t="shared" si="40"/>
        <v>0</v>
      </c>
      <c r="H105" s="170">
        <f t="shared" si="40"/>
        <v>0</v>
      </c>
      <c r="I105" s="170">
        <f t="shared" si="40"/>
        <v>0</v>
      </c>
    </row>
    <row r="106" spans="1:9">
      <c r="A106" s="73">
        <f t="shared" si="27"/>
        <v>0</v>
      </c>
      <c r="B106" s="194"/>
      <c r="C106" s="170">
        <f t="shared" ref="C106:I106" si="41">$B106*C53</f>
        <v>0</v>
      </c>
      <c r="D106" s="170">
        <f t="shared" si="41"/>
        <v>0</v>
      </c>
      <c r="E106" s="170">
        <f t="shared" si="41"/>
        <v>0</v>
      </c>
      <c r="F106" s="170">
        <f t="shared" si="41"/>
        <v>0</v>
      </c>
      <c r="G106" s="170">
        <f t="shared" si="41"/>
        <v>0</v>
      </c>
      <c r="H106" s="170">
        <f t="shared" si="41"/>
        <v>0</v>
      </c>
      <c r="I106" s="170">
        <f t="shared" si="41"/>
        <v>0</v>
      </c>
    </row>
    <row r="107" spans="1:9">
      <c r="A107" s="73" t="str">
        <f t="shared" si="27"/>
        <v>Pomegranate</v>
      </c>
      <c r="B107" s="194"/>
      <c r="C107" s="170">
        <f t="shared" ref="C107:I107" si="42">$B107*C54</f>
        <v>0</v>
      </c>
      <c r="D107" s="170">
        <f t="shared" si="42"/>
        <v>0</v>
      </c>
      <c r="E107" s="170">
        <f t="shared" si="42"/>
        <v>0</v>
      </c>
      <c r="F107" s="170">
        <f t="shared" si="42"/>
        <v>0</v>
      </c>
      <c r="G107" s="170">
        <f t="shared" si="42"/>
        <v>0</v>
      </c>
      <c r="H107" s="170">
        <f t="shared" si="42"/>
        <v>0</v>
      </c>
      <c r="I107" s="170">
        <f t="shared" si="42"/>
        <v>0</v>
      </c>
    </row>
    <row r="108" spans="1:9">
      <c r="A108" s="73" t="str">
        <f t="shared" si="27"/>
        <v>Custard Apple</v>
      </c>
      <c r="B108" s="194"/>
      <c r="C108" s="170">
        <f t="shared" ref="C108:I108" si="43">$B108*C55</f>
        <v>0</v>
      </c>
      <c r="D108" s="170">
        <f t="shared" si="43"/>
        <v>0</v>
      </c>
      <c r="E108" s="170">
        <f t="shared" si="43"/>
        <v>0</v>
      </c>
      <c r="F108" s="170">
        <f t="shared" si="43"/>
        <v>0</v>
      </c>
      <c r="G108" s="170">
        <f t="shared" si="43"/>
        <v>0</v>
      </c>
      <c r="H108" s="170">
        <f t="shared" si="43"/>
        <v>0</v>
      </c>
      <c r="I108" s="170">
        <f t="shared" si="43"/>
        <v>0</v>
      </c>
    </row>
    <row r="109" spans="1:9">
      <c r="A109" s="73" t="str">
        <f t="shared" si="27"/>
        <v>Guava</v>
      </c>
      <c r="B109" s="194"/>
      <c r="C109" s="170">
        <f t="shared" ref="C109:I109" si="44">$B109*C56</f>
        <v>0</v>
      </c>
      <c r="D109" s="170">
        <f t="shared" si="44"/>
        <v>0</v>
      </c>
      <c r="E109" s="170">
        <f t="shared" si="44"/>
        <v>0</v>
      </c>
      <c r="F109" s="170">
        <f t="shared" si="44"/>
        <v>0</v>
      </c>
      <c r="G109" s="170">
        <f t="shared" si="44"/>
        <v>0</v>
      </c>
      <c r="H109" s="170">
        <f t="shared" si="44"/>
        <v>0</v>
      </c>
      <c r="I109" s="170">
        <f t="shared" si="44"/>
        <v>0</v>
      </c>
    </row>
    <row r="110" spans="1:9">
      <c r="A110" s="73" t="str">
        <f t="shared" si="27"/>
        <v>Citrus</v>
      </c>
      <c r="B110" s="194"/>
      <c r="C110" s="170">
        <f t="shared" ref="C110:I110" si="45">$B110*C57</f>
        <v>0</v>
      </c>
      <c r="D110" s="170">
        <f t="shared" si="45"/>
        <v>0</v>
      </c>
      <c r="E110" s="170">
        <f t="shared" si="45"/>
        <v>0</v>
      </c>
      <c r="F110" s="170">
        <f t="shared" si="45"/>
        <v>0</v>
      </c>
      <c r="G110" s="170">
        <f t="shared" si="45"/>
        <v>0</v>
      </c>
      <c r="H110" s="170">
        <f t="shared" si="45"/>
        <v>0</v>
      </c>
      <c r="I110" s="170">
        <f t="shared" si="45"/>
        <v>0</v>
      </c>
    </row>
    <row r="111" spans="1:9">
      <c r="A111" s="73"/>
      <c r="B111" s="194"/>
      <c r="C111" s="170"/>
      <c r="D111" s="170"/>
      <c r="E111" s="170"/>
      <c r="F111" s="170"/>
      <c r="G111" s="170"/>
      <c r="H111" s="170"/>
      <c r="I111" s="170"/>
    </row>
    <row r="112" spans="1:9">
      <c r="A112" s="73"/>
      <c r="B112" s="194"/>
      <c r="C112" s="170"/>
      <c r="D112" s="170"/>
      <c r="E112" s="170"/>
      <c r="F112" s="170"/>
      <c r="G112" s="170"/>
      <c r="H112" s="170"/>
      <c r="I112" s="170"/>
    </row>
    <row r="113" spans="1:23">
      <c r="A113" s="75" t="s">
        <v>679</v>
      </c>
      <c r="B113" s="73" t="s">
        <v>678</v>
      </c>
      <c r="C113" s="73"/>
      <c r="D113" s="73"/>
      <c r="E113" s="73"/>
      <c r="F113" s="73"/>
      <c r="G113" s="73"/>
      <c r="H113" s="73"/>
      <c r="I113" s="73"/>
    </row>
    <row r="114" spans="1:23">
      <c r="A114" s="73" t="s">
        <v>394</v>
      </c>
      <c r="B114" s="194">
        <v>100</v>
      </c>
      <c r="C114" s="170">
        <f>SUM(C62:C110)*$B$114</f>
        <v>0</v>
      </c>
      <c r="D114" s="170">
        <f t="shared" ref="D114:I114" si="46">SUM(D62:D110)*$B$114</f>
        <v>0</v>
      </c>
      <c r="E114" s="170">
        <f t="shared" si="46"/>
        <v>0</v>
      </c>
      <c r="F114" s="170">
        <f t="shared" si="46"/>
        <v>0</v>
      </c>
      <c r="G114" s="170">
        <f t="shared" si="46"/>
        <v>0</v>
      </c>
      <c r="H114" s="170">
        <f t="shared" si="46"/>
        <v>0</v>
      </c>
      <c r="I114" s="170">
        <f t="shared" si="46"/>
        <v>0</v>
      </c>
    </row>
    <row r="115" spans="1:23">
      <c r="A115" s="73" t="s">
        <v>177</v>
      </c>
      <c r="B115" s="194">
        <v>30</v>
      </c>
      <c r="C115" s="170">
        <f>SUM(C62:C110)*$B$115</f>
        <v>0</v>
      </c>
      <c r="D115" s="170">
        <f t="shared" ref="D115:I115" si="47">SUM(D62:D110)*$B$115</f>
        <v>0</v>
      </c>
      <c r="E115" s="170">
        <f t="shared" si="47"/>
        <v>0</v>
      </c>
      <c r="F115" s="170">
        <f t="shared" si="47"/>
        <v>0</v>
      </c>
      <c r="G115" s="170">
        <f t="shared" si="47"/>
        <v>0</v>
      </c>
      <c r="H115" s="170">
        <f t="shared" si="47"/>
        <v>0</v>
      </c>
      <c r="I115" s="170">
        <f t="shared" si="47"/>
        <v>0</v>
      </c>
    </row>
    <row r="116" spans="1:23">
      <c r="A116" s="73" t="s">
        <v>179</v>
      </c>
      <c r="B116" s="194">
        <v>30</v>
      </c>
      <c r="C116" s="170">
        <f>SUM(C62:C110)*$B$116</f>
        <v>0</v>
      </c>
      <c r="D116" s="170">
        <f t="shared" ref="D116:I116" si="48">SUM(D62:D110)*$B$116</f>
        <v>0</v>
      </c>
      <c r="E116" s="170">
        <f t="shared" si="48"/>
        <v>0</v>
      </c>
      <c r="F116" s="170">
        <f t="shared" si="48"/>
        <v>0</v>
      </c>
      <c r="G116" s="170">
        <f t="shared" si="48"/>
        <v>0</v>
      </c>
      <c r="H116" s="170">
        <f t="shared" si="48"/>
        <v>0</v>
      </c>
      <c r="I116" s="170">
        <f t="shared" si="48"/>
        <v>0</v>
      </c>
    </row>
    <row r="117" spans="1:23">
      <c r="A117" s="75" t="s">
        <v>680</v>
      </c>
      <c r="B117" s="194"/>
      <c r="C117" s="73"/>
      <c r="D117" s="73"/>
      <c r="E117" s="73"/>
      <c r="F117" s="73"/>
      <c r="G117" s="73"/>
      <c r="H117" s="73"/>
      <c r="I117" s="73"/>
    </row>
    <row r="118" spans="1:23">
      <c r="A118" s="73" t="s">
        <v>182</v>
      </c>
      <c r="B118" s="194">
        <v>0.2</v>
      </c>
      <c r="C118" s="170">
        <f>SUM(C62:C110)*$B$118</f>
        <v>0</v>
      </c>
      <c r="D118" s="170">
        <f t="shared" ref="D118:I118" si="49">SUM(D62:D110)*$B$118</f>
        <v>0</v>
      </c>
      <c r="E118" s="170">
        <f t="shared" si="49"/>
        <v>0</v>
      </c>
      <c r="F118" s="170">
        <f t="shared" si="49"/>
        <v>0</v>
      </c>
      <c r="G118" s="170">
        <f t="shared" si="49"/>
        <v>0</v>
      </c>
      <c r="H118" s="170">
        <f t="shared" si="49"/>
        <v>0</v>
      </c>
      <c r="I118" s="170">
        <f t="shared" si="49"/>
        <v>0</v>
      </c>
    </row>
    <row r="119" spans="1:23">
      <c r="A119" s="73" t="s">
        <v>183</v>
      </c>
      <c r="B119" s="194">
        <v>0.5</v>
      </c>
      <c r="C119" s="170">
        <f>SUM(C62:C110)*$B$119</f>
        <v>0</v>
      </c>
      <c r="D119" s="170">
        <f t="shared" ref="D119:I119" si="50">SUM(D62:D110)*$B$119</f>
        <v>0</v>
      </c>
      <c r="E119" s="170">
        <f t="shared" si="50"/>
        <v>0</v>
      </c>
      <c r="F119" s="170">
        <f t="shared" si="50"/>
        <v>0</v>
      </c>
      <c r="G119" s="170">
        <f t="shared" si="50"/>
        <v>0</v>
      </c>
      <c r="H119" s="170">
        <f t="shared" si="50"/>
        <v>0</v>
      </c>
      <c r="I119" s="170">
        <f t="shared" si="50"/>
        <v>0</v>
      </c>
    </row>
    <row r="122" spans="1:23" ht="18.75">
      <c r="A122" s="404" t="s">
        <v>575</v>
      </c>
      <c r="B122" s="404"/>
      <c r="C122" s="404"/>
      <c r="D122" s="404"/>
      <c r="E122" s="404"/>
      <c r="F122" s="404"/>
      <c r="G122" s="404"/>
      <c r="H122" s="404"/>
      <c r="I122" s="404"/>
      <c r="J122" s="404"/>
    </row>
    <row r="123" spans="1:23">
      <c r="A123" s="12"/>
      <c r="B123" s="12"/>
      <c r="C123" s="12"/>
      <c r="D123" s="12"/>
      <c r="E123" s="12"/>
      <c r="F123" s="12"/>
      <c r="G123" s="12"/>
      <c r="H123" s="12"/>
    </row>
    <row r="124" spans="1:23">
      <c r="A124" s="162"/>
      <c r="B124" s="162"/>
      <c r="C124" s="162"/>
      <c r="D124" s="163">
        <v>1</v>
      </c>
      <c r="E124" s="164">
        <f>(D124*5%)+D124</f>
        <v>1.05</v>
      </c>
      <c r="F124" s="164">
        <f t="shared" ref="F124:J124" si="51">(E124*5%)+E124</f>
        <v>1.1025</v>
      </c>
      <c r="G124" s="164">
        <f t="shared" si="51"/>
        <v>1.1576250000000001</v>
      </c>
      <c r="H124" s="164">
        <f t="shared" si="51"/>
        <v>1.2155062500000002</v>
      </c>
      <c r="I124" s="164">
        <f t="shared" si="51"/>
        <v>1.2762815625000004</v>
      </c>
      <c r="J124" s="164">
        <f t="shared" si="51"/>
        <v>1.3400956406250004</v>
      </c>
      <c r="K124" s="72"/>
      <c r="U124" s="72"/>
      <c r="V124" s="72"/>
      <c r="W124" s="72"/>
    </row>
    <row r="125" spans="1:23">
      <c r="A125" s="72"/>
      <c r="B125" s="72"/>
      <c r="C125" s="72"/>
      <c r="D125" s="72"/>
      <c r="E125" s="72"/>
      <c r="F125" s="72"/>
      <c r="G125" s="72"/>
      <c r="H125" s="72"/>
      <c r="I125" s="72"/>
      <c r="J125" s="72"/>
      <c r="K125" s="72"/>
      <c r="U125" s="72"/>
      <c r="V125" s="72"/>
      <c r="W125" s="72"/>
    </row>
    <row r="126" spans="1:23">
      <c r="A126" s="124" t="s">
        <v>0</v>
      </c>
      <c r="B126" s="124" t="s">
        <v>133</v>
      </c>
      <c r="C126" s="124" t="s">
        <v>152</v>
      </c>
      <c r="D126" s="96" t="s">
        <v>2</v>
      </c>
      <c r="E126" s="96" t="s">
        <v>3</v>
      </c>
      <c r="F126" s="96" t="s">
        <v>4</v>
      </c>
      <c r="G126" s="96" t="s">
        <v>5</v>
      </c>
      <c r="H126" s="96" t="s">
        <v>6</v>
      </c>
      <c r="I126" s="96" t="s">
        <v>168</v>
      </c>
      <c r="J126" s="96" t="s">
        <v>167</v>
      </c>
      <c r="K126" s="72"/>
      <c r="U126" s="72"/>
      <c r="V126" s="72"/>
      <c r="W126" s="72"/>
    </row>
    <row r="127" spans="1:23">
      <c r="A127" s="75" t="s">
        <v>683</v>
      </c>
      <c r="B127" s="73"/>
      <c r="C127" s="73"/>
      <c r="D127" s="73"/>
      <c r="E127" s="73"/>
      <c r="F127" s="73"/>
      <c r="G127" s="73"/>
      <c r="H127" s="73"/>
      <c r="I127" s="73"/>
      <c r="J127" s="73"/>
      <c r="K127" s="72"/>
      <c r="U127" s="72"/>
      <c r="V127" s="72"/>
      <c r="W127" s="72"/>
    </row>
    <row r="128" spans="1:23">
      <c r="A128" s="73" t="s">
        <v>282</v>
      </c>
      <c r="B128" s="73"/>
      <c r="C128" s="73"/>
      <c r="D128" s="73"/>
      <c r="E128" s="73"/>
      <c r="F128" s="73"/>
      <c r="G128" s="73"/>
      <c r="H128" s="73"/>
      <c r="I128" s="73"/>
      <c r="J128" s="73"/>
      <c r="K128" s="72"/>
      <c r="U128" s="72"/>
      <c r="V128" s="72"/>
      <c r="W128" s="72"/>
    </row>
    <row r="129" spans="1:23">
      <c r="A129" s="75" t="str">
        <f t="shared" ref="A129:A160" si="52">A8</f>
        <v>Kharif Crops</v>
      </c>
      <c r="B129" s="73"/>
      <c r="C129" s="73" t="s">
        <v>681</v>
      </c>
      <c r="D129" s="73"/>
      <c r="E129" s="73"/>
      <c r="F129" s="73"/>
      <c r="G129" s="73"/>
      <c r="H129" s="73"/>
      <c r="I129" s="73"/>
      <c r="J129" s="73"/>
      <c r="K129" s="72"/>
      <c r="U129" s="72"/>
      <c r="V129" s="72"/>
      <c r="W129" s="72"/>
    </row>
    <row r="130" spans="1:23">
      <c r="A130" s="73" t="str">
        <f t="shared" si="52"/>
        <v>Soybean</v>
      </c>
      <c r="B130" s="73"/>
      <c r="C130" s="194">
        <v>90</v>
      </c>
      <c r="D130" s="74">
        <f>(C62*(1-'5.Closing Stock &amp; W Capital'!$D$15))*$C$130*D$124</f>
        <v>0</v>
      </c>
      <c r="E130" s="74">
        <f>((D62*(1-'5.Closing Stock &amp; W Capital'!$D$15))+(C62*'5.Closing Stock &amp; W Capital'!$D$15))*$C$130*E$124</f>
        <v>0</v>
      </c>
      <c r="F130" s="74">
        <f>((E62*(1-'5.Closing Stock &amp; W Capital'!$D$15))+(D62*'5.Closing Stock &amp; W Capital'!$D$15))*$C$130*F$124</f>
        <v>0</v>
      </c>
      <c r="G130" s="74">
        <f>((F62*(1-'5.Closing Stock &amp; W Capital'!$D$15))+(E62*'5.Closing Stock &amp; W Capital'!$D$15))*$C$130*G$124</f>
        <v>0</v>
      </c>
      <c r="H130" s="74">
        <f>((G62*(1-'5.Closing Stock &amp; W Capital'!$D$15))+(F62*'5.Closing Stock &amp; W Capital'!$D$15))*$C$130*H$124</f>
        <v>0</v>
      </c>
      <c r="I130" s="74">
        <f>((H62*(1-'5.Closing Stock &amp; W Capital'!$D$15))+(G62*'5.Closing Stock &amp; W Capital'!$D$15))*$C$130*I$124</f>
        <v>0</v>
      </c>
      <c r="J130" s="74">
        <f>((I62*(1-'5.Closing Stock &amp; W Capital'!$D$15))+(H62*'5.Closing Stock &amp; W Capital'!$D$15))*$C$130*J$124</f>
        <v>0</v>
      </c>
      <c r="K130" s="154"/>
      <c r="U130" s="72"/>
      <c r="V130" s="72"/>
      <c r="W130" s="72"/>
    </row>
    <row r="131" spans="1:23">
      <c r="A131" s="73" t="str">
        <f t="shared" si="52"/>
        <v>Red Gram/Tur</v>
      </c>
      <c r="B131" s="73"/>
      <c r="C131" s="214">
        <v>80</v>
      </c>
      <c r="D131" s="74">
        <f>(C63*(1-'5.Closing Stock &amp; W Capital'!$D$15))*$C$131*D$124</f>
        <v>0</v>
      </c>
      <c r="E131" s="74">
        <f>((D63*(1-'5.Closing Stock &amp; W Capital'!$D$15))+(C63*'5.Closing Stock &amp; W Capital'!$D$15))*$C$131*E$124</f>
        <v>0</v>
      </c>
      <c r="F131" s="74">
        <f>((E63*(1-'5.Closing Stock &amp; W Capital'!$D$15))+(D63*'5.Closing Stock &amp; W Capital'!$D$15))*$C$131*F$124</f>
        <v>0</v>
      </c>
      <c r="G131" s="74">
        <f>((F63*(1-'5.Closing Stock &amp; W Capital'!$D$15))+(E63*'5.Closing Stock &amp; W Capital'!$D$15))*$C$131*G124</f>
        <v>0</v>
      </c>
      <c r="H131" s="74">
        <f>((G63*(1-'5.Closing Stock &amp; W Capital'!$D$15))+(F63*'5.Closing Stock &amp; W Capital'!$D$15))*$C$131*H124</f>
        <v>0</v>
      </c>
      <c r="I131" s="74">
        <f>((H63*(1-'5.Closing Stock &amp; W Capital'!$D$15))+(G63*'5.Closing Stock &amp; W Capital'!$D$15))*$C$131*I124</f>
        <v>0</v>
      </c>
      <c r="J131" s="74">
        <f>((I63*(1-'5.Closing Stock &amp; W Capital'!$D$15))+(H63*'5.Closing Stock &amp; W Capital'!$D$15))*$C$131*J124</f>
        <v>0</v>
      </c>
      <c r="K131" s="72"/>
      <c r="U131" s="154"/>
      <c r="V131" s="72"/>
      <c r="W131" s="72"/>
    </row>
    <row r="132" spans="1:23">
      <c r="A132" s="73" t="str">
        <f t="shared" si="52"/>
        <v>Paddy/Rice</v>
      </c>
      <c r="B132" s="73"/>
      <c r="C132" s="214">
        <v>65</v>
      </c>
      <c r="D132" s="74">
        <f>(C64*(1-'5.Closing Stock &amp; W Capital'!$D$15))*$C$132*D$124</f>
        <v>0</v>
      </c>
      <c r="E132" s="74">
        <f>((D64*(1-'5.Closing Stock &amp; W Capital'!$D$15))+(C64*'5.Closing Stock &amp; W Capital'!$D$15))*$C$132*E$124</f>
        <v>0</v>
      </c>
      <c r="F132" s="74">
        <f>((E64*(1-'5.Closing Stock &amp; W Capital'!$D$15))+(D64*'5.Closing Stock &amp; W Capital'!$D$15))*$C$132*F$124</f>
        <v>0</v>
      </c>
      <c r="G132" s="74">
        <f>((F64*(1-'5.Closing Stock &amp; W Capital'!$D$15))+(E64*'5.Closing Stock &amp; W Capital'!$D$15))*$C$132*G124</f>
        <v>0</v>
      </c>
      <c r="H132" s="74">
        <f>((G64*(1-'5.Closing Stock &amp; W Capital'!$D$15))+(F64*'5.Closing Stock &amp; W Capital'!$D$15))*$C$132*H124</f>
        <v>0</v>
      </c>
      <c r="I132" s="74">
        <f>((H64*(1-'5.Closing Stock &amp; W Capital'!$D$15))+(G64*'5.Closing Stock &amp; W Capital'!$D$15))*$C$132*I124</f>
        <v>0</v>
      </c>
      <c r="J132" s="74">
        <f>((I64*(1-'5.Closing Stock &amp; W Capital'!$D$15))+(H64*'5.Closing Stock &amp; W Capital'!$D$15))*$C$132*J124</f>
        <v>0</v>
      </c>
      <c r="K132" s="72"/>
      <c r="U132" s="72"/>
      <c r="V132" s="72"/>
      <c r="W132" s="72"/>
    </row>
    <row r="133" spans="1:23">
      <c r="A133" s="73" t="str">
        <f t="shared" si="52"/>
        <v>Green Gram/ Moong</v>
      </c>
      <c r="B133" s="73"/>
      <c r="C133" s="214">
        <v>85</v>
      </c>
      <c r="D133" s="74">
        <f>(C65*(1-'5.Closing Stock &amp; W Capital'!$D$15))*$C$133*D$124</f>
        <v>0</v>
      </c>
      <c r="E133" s="74">
        <f>((D65*(1-'5.Closing Stock &amp; W Capital'!$D$15))+(C65*'5.Closing Stock &amp; W Capital'!$D$15))*$C$133*E$124</f>
        <v>0</v>
      </c>
      <c r="F133" s="74">
        <f>((E65*(1-'5.Closing Stock &amp; W Capital'!$D$15))+(D65*'5.Closing Stock &amp; W Capital'!$D$15))*$C$133*F$124</f>
        <v>0</v>
      </c>
      <c r="G133" s="74">
        <f>((F65*(1-'5.Closing Stock &amp; W Capital'!$D$15))+(E65*'5.Closing Stock &amp; W Capital'!$D$15))*$C$133*G$124</f>
        <v>0</v>
      </c>
      <c r="H133" s="74">
        <f>((G65*(1-'5.Closing Stock &amp; W Capital'!$D$15))+(F65*'5.Closing Stock &amp; W Capital'!$D$15))*$C$133*H$124</f>
        <v>0</v>
      </c>
      <c r="I133" s="74">
        <f>((H65*(1-'5.Closing Stock &amp; W Capital'!$D$15))+(G65*'5.Closing Stock &amp; W Capital'!$D$15))*$C$133*I$124</f>
        <v>0</v>
      </c>
      <c r="J133" s="74">
        <f>((I65*(1-'5.Closing Stock &amp; W Capital'!$D$15))+(H65*'5.Closing Stock &amp; W Capital'!$D$15))*$C$133*J$124</f>
        <v>0</v>
      </c>
      <c r="K133" s="72"/>
      <c r="U133" s="72"/>
      <c r="V133" s="72"/>
      <c r="W133" s="72"/>
    </row>
    <row r="134" spans="1:23">
      <c r="A134" s="73" t="str">
        <f t="shared" si="52"/>
        <v>Maize</v>
      </c>
      <c r="B134" s="73"/>
      <c r="C134" s="214">
        <v>37</v>
      </c>
      <c r="D134" s="74">
        <f>(C66*(1-'5.Closing Stock &amp; W Capital'!$D$15))*$C$134*D$124</f>
        <v>0</v>
      </c>
      <c r="E134" s="74">
        <f>((D66*(1-'5.Closing Stock &amp; W Capital'!$D$15))+(C66*'5.Closing Stock &amp; W Capital'!$D$15))*$C$135*E$124</f>
        <v>0</v>
      </c>
      <c r="F134" s="74">
        <f>((E66*(1-'5.Closing Stock &amp; W Capital'!$D$15))+(D66*'5.Closing Stock &amp; W Capital'!$D$15))*$C$135*F$124</f>
        <v>0</v>
      </c>
      <c r="G134" s="74">
        <f>((F66*(1-'5.Closing Stock &amp; W Capital'!$D$15))+(E66*'5.Closing Stock &amp; W Capital'!$D$15))*$C$135*G$124</f>
        <v>0</v>
      </c>
      <c r="H134" s="74">
        <f>((G66*(1-'5.Closing Stock &amp; W Capital'!$D$15))+(F66*'5.Closing Stock &amp; W Capital'!$D$15))*$C$135*H$124</f>
        <v>0</v>
      </c>
      <c r="I134" s="74">
        <f>((H66*(1-'5.Closing Stock &amp; W Capital'!$D$15))+(G66*'5.Closing Stock &amp; W Capital'!$D$15))*$C$135*I$124</f>
        <v>0</v>
      </c>
      <c r="J134" s="74">
        <f>((I66*(1-'5.Closing Stock &amp; W Capital'!$D$15))+(H66*'5.Closing Stock &amp; W Capital'!$D$15))*$C$135*J$124</f>
        <v>0</v>
      </c>
      <c r="K134" s="72"/>
      <c r="U134" s="72"/>
      <c r="V134" s="72"/>
      <c r="W134" s="72"/>
    </row>
    <row r="135" spans="1:23">
      <c r="A135" s="73" t="str">
        <f t="shared" si="52"/>
        <v>Black Gram/Udid</v>
      </c>
      <c r="B135" s="73"/>
      <c r="C135" s="214">
        <v>75</v>
      </c>
      <c r="D135" s="74">
        <f>(C67*(1-'5.Closing Stock &amp; W Capital'!$D$15))*$C$135*D$124</f>
        <v>0</v>
      </c>
      <c r="E135" s="74">
        <f>((D67*(1-'5.Closing Stock &amp; W Capital'!$D$15))+(C67*'5.Closing Stock &amp; W Capital'!$D$15))*$C$135*E$124</f>
        <v>0</v>
      </c>
      <c r="F135" s="74">
        <f>((E67*(1-'5.Closing Stock &amp; W Capital'!$D$15))+(D67*'5.Closing Stock &amp; W Capital'!$D$15))*$C$135*F$124</f>
        <v>0</v>
      </c>
      <c r="G135" s="74">
        <f>((F67*(1-'5.Closing Stock &amp; W Capital'!$D$15))+(E67*'5.Closing Stock &amp; W Capital'!$D$15))*$C$135*G$124</f>
        <v>0</v>
      </c>
      <c r="H135" s="74">
        <f>((G67*(1-'5.Closing Stock &amp; W Capital'!$D$15))+(F67*'5.Closing Stock &amp; W Capital'!$D$15))*$C$135*H$124</f>
        <v>0</v>
      </c>
      <c r="I135" s="74">
        <f>((H67*(1-'5.Closing Stock &amp; W Capital'!$D$15))+(G67*'5.Closing Stock &amp; W Capital'!$D$15))*$C$135*I$124</f>
        <v>0</v>
      </c>
      <c r="J135" s="74">
        <f>((I67*(1-'5.Closing Stock &amp; W Capital'!$D$15))+(H67*'5.Closing Stock &amp; W Capital'!$D$15))*$C$135*J$124</f>
        <v>0</v>
      </c>
      <c r="K135" s="72"/>
      <c r="U135" s="72"/>
      <c r="V135" s="72"/>
      <c r="W135" s="72"/>
    </row>
    <row r="136" spans="1:23">
      <c r="A136" s="73" t="str">
        <f t="shared" si="52"/>
        <v>Bajra</v>
      </c>
      <c r="B136" s="73"/>
      <c r="C136" s="214">
        <v>30</v>
      </c>
      <c r="D136" s="74">
        <f>(C68*(1-'5.Closing Stock &amp; W Capital'!$D$15))*$C$136*D$124</f>
        <v>0</v>
      </c>
      <c r="E136" s="74">
        <f>((D68*(1-'5.Closing Stock &amp; W Capital'!$D$15))+(C68*'5.Closing Stock &amp; W Capital'!$D$15))*$C$136*E$124</f>
        <v>0</v>
      </c>
      <c r="F136" s="74">
        <f>((E68*(1-'5.Closing Stock &amp; W Capital'!$D$15))+(D68*'5.Closing Stock &amp; W Capital'!$D$15))*$C$136*F$124</f>
        <v>0</v>
      </c>
      <c r="G136" s="74">
        <f>((F68*(1-'5.Closing Stock &amp; W Capital'!$D$15))+(E68*'5.Closing Stock &amp; W Capital'!$D$15))*$C$136*G$124</f>
        <v>0</v>
      </c>
      <c r="H136" s="74">
        <f>((G68*(1-'5.Closing Stock &amp; W Capital'!$D$15))+(F68*'5.Closing Stock &amp; W Capital'!$D$15))*$C$136*H$124</f>
        <v>0</v>
      </c>
      <c r="I136" s="74">
        <f>((H68*(1-'5.Closing Stock &amp; W Capital'!$D$15))+(G68*'5.Closing Stock &amp; W Capital'!$D$15))*$C$136*I$124</f>
        <v>0</v>
      </c>
      <c r="J136" s="74">
        <f>((I68*(1-'5.Closing Stock &amp; W Capital'!$D$15))+(H68*'5.Closing Stock &amp; W Capital'!$D$15))*$C$136*J$124</f>
        <v>0</v>
      </c>
      <c r="K136" s="72"/>
      <c r="U136" s="72"/>
      <c r="V136" s="72"/>
      <c r="W136" s="72"/>
    </row>
    <row r="137" spans="1:23">
      <c r="A137" s="73" t="str">
        <f t="shared" si="52"/>
        <v>Jawar</v>
      </c>
      <c r="B137" s="73"/>
      <c r="C137" s="214">
        <v>30</v>
      </c>
      <c r="D137" s="74">
        <f>(C69*(1-'5.Closing Stock &amp; W Capital'!$D$15))*$C$137*D$124</f>
        <v>0</v>
      </c>
      <c r="E137" s="74">
        <f>((D69*(1-'5.Closing Stock &amp; W Capital'!$D$15))+(C69*'5.Closing Stock &amp; W Capital'!$D$15))*$C$137*E$124</f>
        <v>0</v>
      </c>
      <c r="F137" s="74">
        <f>((E69*(1-'5.Closing Stock &amp; W Capital'!$D$15))+(D69*'5.Closing Stock &amp; W Capital'!$D$15))*$C$137*F$124</f>
        <v>0</v>
      </c>
      <c r="G137" s="74">
        <f>((F69*(1-'5.Closing Stock &amp; W Capital'!$D$15))+(E69*'5.Closing Stock &amp; W Capital'!$D$15))*$C$137*G$124</f>
        <v>0</v>
      </c>
      <c r="H137" s="74">
        <f>((G69*(1-'5.Closing Stock &amp; W Capital'!$D$15))+(F69*'5.Closing Stock &amp; W Capital'!$D$15))*$C$137*H$124</f>
        <v>0</v>
      </c>
      <c r="I137" s="74">
        <f>((H69*(1-'5.Closing Stock &amp; W Capital'!$D$15))+(G69*'5.Closing Stock &amp; W Capital'!$D$15))*$C$137*I$124</f>
        <v>0</v>
      </c>
      <c r="J137" s="74">
        <f>((I69*(1-'5.Closing Stock &amp; W Capital'!$D$15))+(H69*'5.Closing Stock &amp; W Capital'!$D$15))*$C$137*J$124</f>
        <v>0</v>
      </c>
      <c r="K137" s="72"/>
      <c r="U137" s="72"/>
      <c r="V137" s="72"/>
      <c r="W137" s="72"/>
    </row>
    <row r="138" spans="1:23">
      <c r="A138" s="75" t="str">
        <f t="shared" si="52"/>
        <v>Rabi Crop</v>
      </c>
      <c r="B138" s="73"/>
      <c r="C138" s="214"/>
      <c r="D138" s="74"/>
      <c r="E138" s="74"/>
      <c r="F138" s="74"/>
      <c r="G138" s="74"/>
      <c r="H138" s="74"/>
      <c r="I138" s="74"/>
      <c r="J138" s="74"/>
      <c r="K138" s="72"/>
      <c r="U138" s="72"/>
      <c r="V138" s="72"/>
      <c r="W138" s="72"/>
    </row>
    <row r="139" spans="1:23">
      <c r="A139" s="73" t="str">
        <f t="shared" si="52"/>
        <v>Wheat</v>
      </c>
      <c r="B139" s="73"/>
      <c r="C139" s="214">
        <v>40</v>
      </c>
      <c r="D139" s="74">
        <f>(C71*(1-'5.Closing Stock &amp; W Capital'!$D$15))*$C$139*D$124</f>
        <v>0</v>
      </c>
      <c r="E139" s="74">
        <f>((D71*(1-'5.Closing Stock &amp; W Capital'!$D$15))+(C71*'5.Closing Stock &amp; W Capital'!$D$15))*$C$139*E$124</f>
        <v>0</v>
      </c>
      <c r="F139" s="74">
        <f>((E71*(1-'5.Closing Stock &amp; W Capital'!$D$15))+(D71*'5.Closing Stock &amp; W Capital'!$D$15))*$C$139*F$124</f>
        <v>0</v>
      </c>
      <c r="G139" s="74">
        <f>((F71*(1-'5.Closing Stock &amp; W Capital'!$D$15))+(E71*'5.Closing Stock &amp; W Capital'!$D$15))*$C$139*G$124</f>
        <v>0</v>
      </c>
      <c r="H139" s="74">
        <f>((G71*(1-'5.Closing Stock &amp; W Capital'!$D$15))+(F71*'5.Closing Stock &amp; W Capital'!$D$15))*$C$139*H$124</f>
        <v>0</v>
      </c>
      <c r="I139" s="74">
        <f>((H71*(1-'5.Closing Stock &amp; W Capital'!$D$15))+(G71*'5.Closing Stock &amp; W Capital'!$D$15))*$C$139*I$124</f>
        <v>0</v>
      </c>
      <c r="J139" s="74">
        <f>((I71*(1-'5.Closing Stock &amp; W Capital'!$D$15))+(H71*'5.Closing Stock &amp; W Capital'!$D$15))*$C$139*J$124</f>
        <v>0</v>
      </c>
      <c r="K139" s="72"/>
      <c r="U139" s="72"/>
      <c r="V139" s="72"/>
      <c r="W139" s="72"/>
    </row>
    <row r="140" spans="1:23">
      <c r="A140" s="73" t="str">
        <f t="shared" si="52"/>
        <v>Bengal Gram/Channa</v>
      </c>
      <c r="B140" s="73"/>
      <c r="C140" s="214">
        <v>75</v>
      </c>
      <c r="D140" s="74">
        <f>(C72*(1-'5.Closing Stock &amp; W Capital'!$D$15))*$C$140*D$124</f>
        <v>0</v>
      </c>
      <c r="E140" s="74">
        <f>((D72*(1-'5.Closing Stock &amp; W Capital'!$D$15))+(C72*'5.Closing Stock &amp; W Capital'!$D$15))*$C$140*E$124</f>
        <v>0</v>
      </c>
      <c r="F140" s="74">
        <f>((E72*(1-'5.Closing Stock &amp; W Capital'!$D$15))+(D72*'5.Closing Stock &amp; W Capital'!$D$15))*$C$140*F$124</f>
        <v>0</v>
      </c>
      <c r="G140" s="74">
        <f>((F72*(1-'5.Closing Stock &amp; W Capital'!$D$15))+(E72*'5.Closing Stock &amp; W Capital'!$D$15))*$C$140*G$124</f>
        <v>0</v>
      </c>
      <c r="H140" s="74">
        <f>((G72*(1-'5.Closing Stock &amp; W Capital'!$D$15))+(F72*'5.Closing Stock &amp; W Capital'!$D$15))*$C$140*H$124</f>
        <v>0</v>
      </c>
      <c r="I140" s="74">
        <f>((H72*(1-'5.Closing Stock &amp; W Capital'!$D$15))+(G72*'5.Closing Stock &amp; W Capital'!$D$15))*$C$140*I$124</f>
        <v>0</v>
      </c>
      <c r="J140" s="74">
        <f>((I72*(1-'5.Closing Stock &amp; W Capital'!$D$15))+(H72*'5.Closing Stock &amp; W Capital'!$D$15))*$C$140*J$124</f>
        <v>0</v>
      </c>
      <c r="K140" s="72"/>
      <c r="U140" s="72"/>
      <c r="V140" s="72"/>
      <c r="W140" s="72"/>
    </row>
    <row r="141" spans="1:23">
      <c r="A141" s="73" t="str">
        <f t="shared" si="52"/>
        <v>Jawar</v>
      </c>
      <c r="B141" s="73"/>
      <c r="C141" s="214">
        <v>27</v>
      </c>
      <c r="D141" s="74">
        <f>(C73*(1-'5.Closing Stock &amp; W Capital'!$D$15))*$C$141*D$124</f>
        <v>0</v>
      </c>
      <c r="E141" s="74">
        <f>((D73*(1-'5.Closing Stock &amp; W Capital'!$D$15))+(C73*'5.Closing Stock &amp; W Capital'!$D$15))*$C$141*E$124</f>
        <v>0</v>
      </c>
      <c r="F141" s="74">
        <f>((E73*(1-'5.Closing Stock &amp; W Capital'!$D$15))+(D73*'5.Closing Stock &amp; W Capital'!$D$15))*$C$141*F$124</f>
        <v>0</v>
      </c>
      <c r="G141" s="74">
        <f>((F73*(1-'5.Closing Stock &amp; W Capital'!$D$15))+(E73*'5.Closing Stock &amp; W Capital'!$D$15))*$C$141*G$124</f>
        <v>0</v>
      </c>
      <c r="H141" s="74">
        <f>((G73*(1-'5.Closing Stock &amp; W Capital'!$D$15))+(F73*'5.Closing Stock &amp; W Capital'!$D$15))*$C$141*H$124</f>
        <v>0</v>
      </c>
      <c r="I141" s="74">
        <f>((H73*(1-'5.Closing Stock &amp; W Capital'!$D$15))+(G73*'5.Closing Stock &amp; W Capital'!$D$15))*$C$141*I$124</f>
        <v>0</v>
      </c>
      <c r="J141" s="74">
        <f>((I73*(1-'5.Closing Stock &amp; W Capital'!$D$15))+(H73*'5.Closing Stock &amp; W Capital'!$D$15))*$C$141*J$124</f>
        <v>0</v>
      </c>
      <c r="K141" s="72"/>
      <c r="U141" s="72"/>
      <c r="V141" s="72"/>
      <c r="W141" s="72"/>
    </row>
    <row r="142" spans="1:23">
      <c r="A142" s="73" t="str">
        <f t="shared" si="52"/>
        <v>Maize</v>
      </c>
      <c r="B142" s="73"/>
      <c r="C142" s="214">
        <v>27</v>
      </c>
      <c r="D142" s="74">
        <f>(C74*(1-'5.Closing Stock &amp; W Capital'!$D$15))*$C$142*D$124</f>
        <v>0</v>
      </c>
      <c r="E142" s="74">
        <f>((D74*(1-'5.Closing Stock &amp; W Capital'!$D$15))+(C74*'5.Closing Stock &amp; W Capital'!$D$15))*$C$142*E$124</f>
        <v>0</v>
      </c>
      <c r="F142" s="74">
        <f>((E74*(1-'5.Closing Stock &amp; W Capital'!$D$15))+(D74*'5.Closing Stock &amp; W Capital'!$D$15))*$C$142*F$124</f>
        <v>0</v>
      </c>
      <c r="G142" s="74">
        <f>((F74*(1-'5.Closing Stock &amp; W Capital'!$D$15))+(E74*'5.Closing Stock &amp; W Capital'!$D$15))*$C$142*G$124</f>
        <v>0</v>
      </c>
      <c r="H142" s="74">
        <f>((G74*(1-'5.Closing Stock &amp; W Capital'!$D$15))+(F74*'5.Closing Stock &amp; W Capital'!$D$15))*$C$142*H$124</f>
        <v>0</v>
      </c>
      <c r="I142" s="74">
        <f>((H74*(1-'5.Closing Stock &amp; W Capital'!$D$15))+(G74*'5.Closing Stock &amp; W Capital'!$D$15))*$C$142*I$124</f>
        <v>0</v>
      </c>
      <c r="J142" s="74">
        <f>((I74*(1-'5.Closing Stock &amp; W Capital'!$D$15))+(H74*'5.Closing Stock &amp; W Capital'!$D$15))*$C$142*J$124</f>
        <v>0</v>
      </c>
      <c r="K142" s="72"/>
      <c r="U142" s="72"/>
      <c r="V142" s="72"/>
      <c r="W142" s="72"/>
    </row>
    <row r="143" spans="1:23">
      <c r="A143" s="73" t="str">
        <f t="shared" si="52"/>
        <v>Safflower</v>
      </c>
      <c r="B143" s="73"/>
      <c r="C143" s="214"/>
      <c r="D143" s="74">
        <f>(C75*(1-'5.Closing Stock &amp; W Capital'!$D$15))*$C$143*D$124</f>
        <v>0</v>
      </c>
      <c r="E143" s="74">
        <f>((D75*(1-'5.Closing Stock &amp; W Capital'!$D$15))+(C75*'5.Closing Stock &amp; W Capital'!$D$15))*$C$143*E$124</f>
        <v>0</v>
      </c>
      <c r="F143" s="74">
        <f>((E75*(1-'5.Closing Stock &amp; W Capital'!$D$15))+(D75*'5.Closing Stock &amp; W Capital'!$D$15))*$C$143*F$124</f>
        <v>0</v>
      </c>
      <c r="G143" s="74">
        <f>((F75*(1-'5.Closing Stock &amp; W Capital'!$D$15))+(E75*'5.Closing Stock &amp; W Capital'!$D$15))*$C$143*G$124</f>
        <v>0</v>
      </c>
      <c r="H143" s="74">
        <f>((G75*(1-'5.Closing Stock &amp; W Capital'!$D$15))+(F75*'5.Closing Stock &amp; W Capital'!$D$15))*$C$143*H$124</f>
        <v>0</v>
      </c>
      <c r="I143" s="74">
        <f>((H75*(1-'5.Closing Stock &amp; W Capital'!$D$15))+(G75*'5.Closing Stock &amp; W Capital'!$D$15))*$C$143*I$124</f>
        <v>0</v>
      </c>
      <c r="J143" s="74">
        <f>((I75*(1-'5.Closing Stock &amp; W Capital'!$D$15))+(H75*'5.Closing Stock &amp; W Capital'!$D$15))*$C$143*J$124</f>
        <v>0</v>
      </c>
      <c r="K143" s="72"/>
      <c r="U143" s="72"/>
      <c r="V143" s="72"/>
      <c r="W143" s="72"/>
    </row>
    <row r="144" spans="1:23">
      <c r="A144" s="73">
        <f t="shared" si="52"/>
        <v>0</v>
      </c>
      <c r="B144" s="73"/>
      <c r="C144" s="214"/>
      <c r="D144" s="74">
        <f>(C76*(1-'5.Closing Stock &amp; W Capital'!$D$15))*$C$144*D$124</f>
        <v>0</v>
      </c>
      <c r="E144" s="74">
        <f>((D76*(1-'5.Closing Stock &amp; W Capital'!$D$15))+(C76*'5.Closing Stock &amp; W Capital'!$D$15))*$C$144*E$124</f>
        <v>0</v>
      </c>
      <c r="F144" s="74">
        <f>((E76*(1-'5.Closing Stock &amp; W Capital'!$D$15))+(D76*'5.Closing Stock &amp; W Capital'!$D$15))*$C$144*F$124</f>
        <v>0</v>
      </c>
      <c r="G144" s="74">
        <f>((F76*(1-'5.Closing Stock &amp; W Capital'!$D$15))+(E76*'5.Closing Stock &amp; W Capital'!$D$15))*$C$144*G$124</f>
        <v>0</v>
      </c>
      <c r="H144" s="74">
        <f>((G76*(1-'5.Closing Stock &amp; W Capital'!$D$15))+(F76*'5.Closing Stock &amp; W Capital'!$D$15))*$C$144*H$124</f>
        <v>0</v>
      </c>
      <c r="I144" s="74">
        <f>((H76*(1-'5.Closing Stock &amp; W Capital'!$D$15))+(G76*'5.Closing Stock &amp; W Capital'!$D$15))*$C$144*I$124</f>
        <v>0</v>
      </c>
      <c r="J144" s="74">
        <f>((I76*(1-'5.Closing Stock &amp; W Capital'!$D$15))+(H76*'5.Closing Stock &amp; W Capital'!$D$15))*$C$144*J$124</f>
        <v>0</v>
      </c>
      <c r="K144" s="72"/>
      <c r="U144" s="72"/>
      <c r="V144" s="72"/>
      <c r="W144" s="72"/>
    </row>
    <row r="145" spans="1:23">
      <c r="A145" s="73">
        <f t="shared" si="52"/>
        <v>0</v>
      </c>
      <c r="B145" s="73"/>
      <c r="C145" s="214"/>
      <c r="D145" s="74">
        <f>(C77*(1-'5.Closing Stock &amp; W Capital'!$D$15))*$C$145*D$124</f>
        <v>0</v>
      </c>
      <c r="E145" s="74">
        <f>((D77*(1-'5.Closing Stock &amp; W Capital'!$D$15))+(C77*'5.Closing Stock &amp; W Capital'!$D$15))*$C$145*E$124</f>
        <v>0</v>
      </c>
      <c r="F145" s="74">
        <f>((E77*(1-'5.Closing Stock &amp; W Capital'!$D$15))+(D77*'5.Closing Stock &amp; W Capital'!$D$15))*$C$145*F$124</f>
        <v>0</v>
      </c>
      <c r="G145" s="74">
        <f>((F77*(1-'5.Closing Stock &amp; W Capital'!$D$15))+(E77*'5.Closing Stock &amp; W Capital'!$D$15))*$C$145*G$124</f>
        <v>0</v>
      </c>
      <c r="H145" s="74">
        <f>((G77*(1-'5.Closing Stock &amp; W Capital'!$D$15))+(F77*'5.Closing Stock &amp; W Capital'!$D$15))*$C$145*H$124</f>
        <v>0</v>
      </c>
      <c r="I145" s="74">
        <f>((H77*(1-'5.Closing Stock &amp; W Capital'!$D$15))+(G77*'5.Closing Stock &amp; W Capital'!$D$15))*$C$145*I$124</f>
        <v>0</v>
      </c>
      <c r="J145" s="74">
        <f>((I77*(1-'5.Closing Stock &amp; W Capital'!$D$15))+(H77*'5.Closing Stock &amp; W Capital'!$D$15))*$C$145*J$124</f>
        <v>0</v>
      </c>
      <c r="K145" s="72"/>
      <c r="U145" s="72"/>
      <c r="V145" s="72"/>
      <c r="W145" s="72"/>
    </row>
    <row r="146" spans="1:23">
      <c r="A146" s="73">
        <f t="shared" si="52"/>
        <v>0</v>
      </c>
      <c r="B146" s="73"/>
      <c r="C146" s="214"/>
      <c r="D146" s="74">
        <f>(C78*(1-'5.Closing Stock &amp; W Capital'!$D$15))*$C$146*D$124</f>
        <v>0</v>
      </c>
      <c r="E146" s="74">
        <f>((D78*(1-'5.Closing Stock &amp; W Capital'!$D$15))+(C78*'5.Closing Stock &amp; W Capital'!$D$15))*$C$146*E$124</f>
        <v>0</v>
      </c>
      <c r="F146" s="74">
        <f>((E78*(1-'5.Closing Stock &amp; W Capital'!$D$15))+(D78*'5.Closing Stock &amp; W Capital'!$D$15))*$C$146*F$124</f>
        <v>0</v>
      </c>
      <c r="G146" s="74">
        <f>((F78*(1-'5.Closing Stock &amp; W Capital'!$D$15))+(E78*'5.Closing Stock &amp; W Capital'!$D$15))*$C$146*G$124</f>
        <v>0</v>
      </c>
      <c r="H146" s="74">
        <f>((G78*(1-'5.Closing Stock &amp; W Capital'!$D$15))+(F78*'5.Closing Stock &amp; W Capital'!$D$15))*$C$146*H$124</f>
        <v>0</v>
      </c>
      <c r="I146" s="74">
        <f>((H78*(1-'5.Closing Stock &amp; W Capital'!$D$15))+(G78*'5.Closing Stock &amp; W Capital'!$D$15))*$C$146*I$124</f>
        <v>0</v>
      </c>
      <c r="J146" s="74">
        <f>((I78*(1-'5.Closing Stock &amp; W Capital'!$D$15))+(H78*'5.Closing Stock &amp; W Capital'!$D$15))*$C$146*J$124</f>
        <v>0</v>
      </c>
      <c r="K146" s="72"/>
      <c r="U146" s="72"/>
      <c r="V146" s="72"/>
      <c r="W146" s="72"/>
    </row>
    <row r="147" spans="1:23">
      <c r="A147" s="75" t="str">
        <f t="shared" si="52"/>
        <v>Summer</v>
      </c>
      <c r="B147" s="73"/>
      <c r="C147" s="214"/>
      <c r="D147" s="74"/>
      <c r="E147" s="74"/>
      <c r="F147" s="74"/>
      <c r="G147" s="74"/>
      <c r="H147" s="74"/>
      <c r="I147" s="74"/>
      <c r="J147" s="74"/>
      <c r="K147" s="72"/>
      <c r="U147" s="72"/>
      <c r="V147" s="72"/>
      <c r="W147" s="72"/>
    </row>
    <row r="148" spans="1:23">
      <c r="A148" s="73" t="str">
        <f t="shared" si="52"/>
        <v>Groundnut</v>
      </c>
      <c r="B148" s="73"/>
      <c r="C148" s="214"/>
      <c r="D148" s="74">
        <f>(C80*(1-'5.Closing Stock &amp; W Capital'!$D$15))*$C$148*D$124</f>
        <v>0</v>
      </c>
      <c r="E148" s="74">
        <f>((D80*(1-'5.Closing Stock &amp; W Capital'!$D$15))+(C80*'5.Closing Stock &amp; W Capital'!$D$15))*$C$148*E$124</f>
        <v>0</v>
      </c>
      <c r="F148" s="74">
        <f>((E80*(1-'5.Closing Stock &amp; W Capital'!$D$15))+(D80*'5.Closing Stock &amp; W Capital'!$D$15))*$C$148*F$124</f>
        <v>0</v>
      </c>
      <c r="G148" s="74">
        <f>((F80*(1-'5.Closing Stock &amp; W Capital'!$D$15))+(E80*'5.Closing Stock &amp; W Capital'!$D$15))*$C$148*G$124</f>
        <v>0</v>
      </c>
      <c r="H148" s="74">
        <f>((G80*(1-'5.Closing Stock &amp; W Capital'!$D$15))+(F80*'5.Closing Stock &amp; W Capital'!$D$15))*$C$148*H$124</f>
        <v>0</v>
      </c>
      <c r="I148" s="74">
        <f>((H80*(1-'5.Closing Stock &amp; W Capital'!$D$15))+(G80*'5.Closing Stock &amp; W Capital'!$D$15))*$C$148*I$124</f>
        <v>0</v>
      </c>
      <c r="J148" s="74">
        <f>((I80*(1-'5.Closing Stock &amp; W Capital'!$D$15))+(H80*'5.Closing Stock &amp; W Capital'!$D$15))*$C$148*J$124</f>
        <v>0</v>
      </c>
      <c r="K148" s="72"/>
      <c r="U148" s="72"/>
      <c r="V148" s="72"/>
      <c r="W148" s="72"/>
    </row>
    <row r="149" spans="1:23">
      <c r="A149" s="73">
        <f t="shared" si="52"/>
        <v>0</v>
      </c>
      <c r="B149" s="73"/>
      <c r="C149" s="214"/>
      <c r="D149" s="74">
        <f>(C81*(1-'5.Closing Stock &amp; W Capital'!$D$15))*$C$149*D$124</f>
        <v>0</v>
      </c>
      <c r="E149" s="74">
        <f>((D81*(1-'5.Closing Stock &amp; W Capital'!$D$15))+(C81*'5.Closing Stock &amp; W Capital'!$D$15))*$C$149*E$124</f>
        <v>0</v>
      </c>
      <c r="F149" s="74">
        <f>((E81*(1-'5.Closing Stock &amp; W Capital'!$D$15))+(D81*'5.Closing Stock &amp; W Capital'!$D$15))*$C$149*F$124</f>
        <v>0</v>
      </c>
      <c r="G149" s="74">
        <f>((F81*(1-'5.Closing Stock &amp; W Capital'!$D$15))+(E81*'5.Closing Stock &amp; W Capital'!$D$15))*$C$149*G$124</f>
        <v>0</v>
      </c>
      <c r="H149" s="74">
        <f>((G81*(1-'5.Closing Stock &amp; W Capital'!$D$15))+(F81*'5.Closing Stock &amp; W Capital'!$D$15))*$C$149*H$124</f>
        <v>0</v>
      </c>
      <c r="I149" s="74">
        <f>((H81*(1-'5.Closing Stock &amp; W Capital'!$D$15))+(G81*'5.Closing Stock &amp; W Capital'!$D$15))*$C$149*I$124</f>
        <v>0</v>
      </c>
      <c r="J149" s="74">
        <f>((I81*(1-'5.Closing Stock &amp; W Capital'!$D$15))+(H81*'5.Closing Stock &amp; W Capital'!$D$15))*$C$149*J$124</f>
        <v>0</v>
      </c>
      <c r="K149" s="72"/>
      <c r="U149" s="72"/>
      <c r="V149" s="72"/>
      <c r="W149" s="72"/>
    </row>
    <row r="150" spans="1:23">
      <c r="A150" s="73">
        <f t="shared" si="52"/>
        <v>0</v>
      </c>
      <c r="B150" s="73"/>
      <c r="C150" s="214"/>
      <c r="D150" s="74">
        <f>(C82*(1-'5.Closing Stock &amp; W Capital'!$D$15))*$C$150*D$124</f>
        <v>0</v>
      </c>
      <c r="E150" s="74">
        <f>((D82*(1-'5.Closing Stock &amp; W Capital'!$D$15))+(C82*'5.Closing Stock &amp; W Capital'!$D$15))*$C$150*E$124</f>
        <v>0</v>
      </c>
      <c r="F150" s="74">
        <f>((E82*(1-'5.Closing Stock &amp; W Capital'!$D$15))+(D82*'5.Closing Stock &amp; W Capital'!$D$15))*$C$150*F$124</f>
        <v>0</v>
      </c>
      <c r="G150" s="74">
        <f>((F82*(1-'5.Closing Stock &amp; W Capital'!$D$15))+(E82*'5.Closing Stock &amp; W Capital'!$D$15))*$C$150*G$124</f>
        <v>0</v>
      </c>
      <c r="H150" s="74">
        <f>((G82*(1-'5.Closing Stock &amp; W Capital'!$D$15))+(F82*'5.Closing Stock &amp; W Capital'!$D$15))*$C$150*H$124</f>
        <v>0</v>
      </c>
      <c r="I150" s="74">
        <f>((H82*(1-'5.Closing Stock &amp; W Capital'!$D$15))+(G82*'5.Closing Stock &amp; W Capital'!$D$15))*$C$150*I$124</f>
        <v>0</v>
      </c>
      <c r="J150" s="74">
        <f>((I82*(1-'5.Closing Stock &amp; W Capital'!$D$15))+(H82*'5.Closing Stock &amp; W Capital'!$D$15))*$C$150*J$124</f>
        <v>0</v>
      </c>
      <c r="K150" s="72"/>
      <c r="U150" s="72"/>
      <c r="V150" s="72"/>
      <c r="W150" s="72"/>
    </row>
    <row r="151" spans="1:23">
      <c r="A151" s="73">
        <f t="shared" si="52"/>
        <v>0</v>
      </c>
      <c r="B151" s="73"/>
      <c r="C151" s="214"/>
      <c r="D151" s="74">
        <f>(C83*(1-'5.Closing Stock &amp; W Capital'!$D$15))*$C$151*D$124</f>
        <v>0</v>
      </c>
      <c r="E151" s="74">
        <f>((D83*(1-'5.Closing Stock &amp; W Capital'!$D$15))+(C83*'5.Closing Stock &amp; W Capital'!$D$15))*$C$151*E$124</f>
        <v>0</v>
      </c>
      <c r="F151" s="74">
        <f>((E83*(1-'5.Closing Stock &amp; W Capital'!$D$15))+(D83*'5.Closing Stock &amp; W Capital'!$D$15))*$C$151*F$124</f>
        <v>0</v>
      </c>
      <c r="G151" s="74">
        <f>((F83*(1-'5.Closing Stock &amp; W Capital'!$D$15))+(E83*'5.Closing Stock &amp; W Capital'!$D$15))*$C$151*G$124</f>
        <v>0</v>
      </c>
      <c r="H151" s="74">
        <f>((G83*(1-'5.Closing Stock &amp; W Capital'!$D$15))+(F83*'5.Closing Stock &amp; W Capital'!$D$15))*$C$151*H$124</f>
        <v>0</v>
      </c>
      <c r="I151" s="74">
        <f>((H83*(1-'5.Closing Stock &amp; W Capital'!$D$15))+(G83*'5.Closing Stock &amp; W Capital'!$D$15))*$C$151*I$124</f>
        <v>0</v>
      </c>
      <c r="J151" s="74">
        <f>((I83*(1-'5.Closing Stock &amp; W Capital'!$D$15))+(H83*'5.Closing Stock &amp; W Capital'!$D$15))*$C$151*J$124</f>
        <v>0</v>
      </c>
      <c r="K151" s="72"/>
      <c r="U151" s="72"/>
      <c r="V151" s="72"/>
      <c r="W151" s="72"/>
    </row>
    <row r="152" spans="1:23">
      <c r="A152" s="73">
        <f t="shared" si="52"/>
        <v>0</v>
      </c>
      <c r="B152" s="73"/>
      <c r="C152" s="214"/>
      <c r="D152" s="74">
        <f>(C84*(1-'5.Closing Stock &amp; W Capital'!$D$15))*$C$152*D$124</f>
        <v>0</v>
      </c>
      <c r="E152" s="74">
        <f>((D84*(1-'5.Closing Stock &amp; W Capital'!$D$15))+(C84*'5.Closing Stock &amp; W Capital'!$D$15))*$C$152*E$124</f>
        <v>0</v>
      </c>
      <c r="F152" s="74">
        <f>((E84*(1-'5.Closing Stock &amp; W Capital'!$D$15))+(D84*'5.Closing Stock &amp; W Capital'!$D$15))*$C$152*F$124</f>
        <v>0</v>
      </c>
      <c r="G152" s="74">
        <f>((F84*(1-'5.Closing Stock &amp; W Capital'!$D$15))+(E84*'5.Closing Stock &amp; W Capital'!$D$15))*$C$152*G$124</f>
        <v>0</v>
      </c>
      <c r="H152" s="74">
        <f>((G84*(1-'5.Closing Stock &amp; W Capital'!$D$15))+(F84*'5.Closing Stock &amp; W Capital'!$D$15))*$C$152*H$124</f>
        <v>0</v>
      </c>
      <c r="I152" s="74">
        <f>((H84*(1-'5.Closing Stock &amp; W Capital'!$D$15))+(G84*'5.Closing Stock &amp; W Capital'!$D$15))*$C$152*I$124</f>
        <v>0</v>
      </c>
      <c r="J152" s="74">
        <f>((I84*(1-'5.Closing Stock &amp; W Capital'!$D$15))+(H84*'5.Closing Stock &amp; W Capital'!$D$15))*$C$152*J$124</f>
        <v>0</v>
      </c>
      <c r="K152" s="72"/>
      <c r="U152" s="72"/>
      <c r="V152" s="72"/>
      <c r="W152" s="72"/>
    </row>
    <row r="153" spans="1:23">
      <c r="A153" s="73" t="str">
        <f t="shared" si="52"/>
        <v>Fruit  &amp; Vegetables Crop Production Details</v>
      </c>
      <c r="B153" s="73"/>
      <c r="C153" s="214"/>
      <c r="D153" s="74"/>
      <c r="E153" s="74"/>
      <c r="F153" s="74"/>
      <c r="G153" s="74"/>
      <c r="H153" s="74"/>
      <c r="I153" s="74"/>
      <c r="J153" s="74"/>
      <c r="K153" s="72"/>
      <c r="U153" s="72"/>
      <c r="V153" s="72"/>
      <c r="W153" s="72"/>
    </row>
    <row r="154" spans="1:23">
      <c r="A154" s="73" t="str">
        <f t="shared" si="52"/>
        <v>Onion</v>
      </c>
      <c r="B154" s="73"/>
      <c r="C154" s="214"/>
      <c r="D154" s="74">
        <f>(C86*(1-'5.Closing Stock &amp; W Capital'!$D$15))*$C154*D$124</f>
        <v>0</v>
      </c>
      <c r="E154" s="74">
        <f>((D86*(1-'5.Closing Stock &amp; W Capital'!$D$15))+(C86*'5.Closing Stock &amp; W Capital'!$D$15))*$C154*E$124</f>
        <v>0</v>
      </c>
      <c r="F154" s="74">
        <f>((E86*(1-'5.Closing Stock &amp; W Capital'!$D$15))+(D86*'5.Closing Stock &amp; W Capital'!$D$15))*$C154*F$124</f>
        <v>0</v>
      </c>
      <c r="G154" s="74">
        <f>((F86*(1-'5.Closing Stock &amp; W Capital'!$D$15))+(E86*'5.Closing Stock &amp; W Capital'!$D$15))*$C154*G$124</f>
        <v>0</v>
      </c>
      <c r="H154" s="74">
        <f>((G86*(1-'5.Closing Stock &amp; W Capital'!$D$15))+(F86*'5.Closing Stock &amp; W Capital'!$D$15))*$C154*H$124</f>
        <v>0</v>
      </c>
      <c r="I154" s="74">
        <f>((H86*(1-'5.Closing Stock &amp; W Capital'!$D$15))+(G86*'5.Closing Stock &amp; W Capital'!$D$15))*$C154*I$124</f>
        <v>0</v>
      </c>
      <c r="J154" s="74">
        <f>((I86*(1-'5.Closing Stock &amp; W Capital'!$D$15))+(H86*'5.Closing Stock &amp; W Capital'!$D$15))*$C154*J$124</f>
        <v>0</v>
      </c>
      <c r="K154" s="72"/>
      <c r="U154" s="72"/>
      <c r="V154" s="72"/>
      <c r="W154" s="72"/>
    </row>
    <row r="155" spans="1:23">
      <c r="A155" s="73" t="str">
        <f t="shared" si="52"/>
        <v>Tomato</v>
      </c>
      <c r="B155" s="73"/>
      <c r="C155" s="214"/>
      <c r="D155" s="74">
        <f>(C87*(1-'5.Closing Stock &amp; W Capital'!$D$15))*$C155*D$124</f>
        <v>0</v>
      </c>
      <c r="E155" s="74">
        <f>((D87*(1-'5.Closing Stock &amp; W Capital'!$D$15))+(C87*'5.Closing Stock &amp; W Capital'!$D$15))*$C155*E$124</f>
        <v>0</v>
      </c>
      <c r="F155" s="74">
        <f>((E87*(1-'5.Closing Stock &amp; W Capital'!$D$15))+(D87*'5.Closing Stock &amp; W Capital'!$D$15))*$C155*F$124</f>
        <v>0</v>
      </c>
      <c r="G155" s="74">
        <f>((F87*(1-'5.Closing Stock &amp; W Capital'!$D$15))+(E87*'5.Closing Stock &amp; W Capital'!$D$15))*$C155*G$124</f>
        <v>0</v>
      </c>
      <c r="H155" s="74">
        <f>((G87*(1-'5.Closing Stock &amp; W Capital'!$D$15))+(F87*'5.Closing Stock &amp; W Capital'!$D$15))*$C155*H$124</f>
        <v>0</v>
      </c>
      <c r="I155" s="74">
        <f>((H87*(1-'5.Closing Stock &amp; W Capital'!$D$15))+(G87*'5.Closing Stock &amp; W Capital'!$D$15))*$C155*I$124</f>
        <v>0</v>
      </c>
      <c r="J155" s="74">
        <f>((I87*(1-'5.Closing Stock &amp; W Capital'!$D$15))+(H87*'5.Closing Stock &amp; W Capital'!$D$15))*$C155*J$124</f>
        <v>0</v>
      </c>
      <c r="K155" s="72"/>
      <c r="U155" s="72"/>
      <c r="V155" s="72"/>
      <c r="W155" s="72"/>
    </row>
    <row r="156" spans="1:23">
      <c r="A156" s="73" t="str">
        <f t="shared" si="52"/>
        <v>Okra</v>
      </c>
      <c r="B156" s="73"/>
      <c r="C156" s="214"/>
      <c r="D156" s="74">
        <f>(C88*(1-'5.Closing Stock &amp; W Capital'!$D$15))*$C156*D$124</f>
        <v>0</v>
      </c>
      <c r="E156" s="74">
        <f>((D88*(1-'5.Closing Stock &amp; W Capital'!$D$15))+(C88*'5.Closing Stock &amp; W Capital'!$D$15))*$C156*E$124</f>
        <v>0</v>
      </c>
      <c r="F156" s="74">
        <f>((E88*(1-'5.Closing Stock &amp; W Capital'!$D$15))+(D88*'5.Closing Stock &amp; W Capital'!$D$15))*$C156*F$124</f>
        <v>0</v>
      </c>
      <c r="G156" s="74">
        <f>((F88*(1-'5.Closing Stock &amp; W Capital'!$D$15))+(E88*'5.Closing Stock &amp; W Capital'!$D$15))*$C156*G$124</f>
        <v>0</v>
      </c>
      <c r="H156" s="74">
        <f>((G88*(1-'5.Closing Stock &amp; W Capital'!$D$15))+(F88*'5.Closing Stock &amp; W Capital'!$D$15))*$C156*H$124</f>
        <v>0</v>
      </c>
      <c r="I156" s="74">
        <f>((H88*(1-'5.Closing Stock &amp; W Capital'!$D$15))+(G88*'5.Closing Stock &amp; W Capital'!$D$15))*$C156*I$124</f>
        <v>0</v>
      </c>
      <c r="J156" s="74">
        <f>((I88*(1-'5.Closing Stock &amp; W Capital'!$D$15))+(H88*'5.Closing Stock &amp; W Capital'!$D$15))*$C156*J$124</f>
        <v>0</v>
      </c>
      <c r="K156" s="72"/>
      <c r="U156" s="72"/>
      <c r="V156" s="72"/>
      <c r="W156" s="72"/>
    </row>
    <row r="157" spans="1:23">
      <c r="A157" s="73" t="str">
        <f t="shared" si="52"/>
        <v>Chilli</v>
      </c>
      <c r="B157" s="73"/>
      <c r="C157" s="214"/>
      <c r="D157" s="74">
        <f>(C89*(1-'5.Closing Stock &amp; W Capital'!$D$15))*$C157*D$124</f>
        <v>0</v>
      </c>
      <c r="E157" s="74">
        <f>((D89*(1-'5.Closing Stock &amp; W Capital'!$D$15))+(C89*'5.Closing Stock &amp; W Capital'!$D$15))*$C157*E$124</f>
        <v>0</v>
      </c>
      <c r="F157" s="74">
        <f>((E89*(1-'5.Closing Stock &amp; W Capital'!$D$15))+(D89*'5.Closing Stock &amp; W Capital'!$D$15))*$C157*F$124</f>
        <v>0</v>
      </c>
      <c r="G157" s="74">
        <f>((F89*(1-'5.Closing Stock &amp; W Capital'!$D$15))+(E89*'5.Closing Stock &amp; W Capital'!$D$15))*$C157*G$124</f>
        <v>0</v>
      </c>
      <c r="H157" s="74">
        <f>((G89*(1-'5.Closing Stock &amp; W Capital'!$D$15))+(F89*'5.Closing Stock &amp; W Capital'!$D$15))*$C157*H$124</f>
        <v>0</v>
      </c>
      <c r="I157" s="74">
        <f>((H89*(1-'5.Closing Stock &amp; W Capital'!$D$15))+(G89*'5.Closing Stock &amp; W Capital'!$D$15))*$C157*I$124</f>
        <v>0</v>
      </c>
      <c r="J157" s="74">
        <f>((I89*(1-'5.Closing Stock &amp; W Capital'!$D$15))+(H89*'5.Closing Stock &amp; W Capital'!$D$15))*$C157*J$124</f>
        <v>0</v>
      </c>
      <c r="K157" s="72"/>
      <c r="U157" s="72"/>
      <c r="V157" s="72"/>
      <c r="W157" s="72"/>
    </row>
    <row r="158" spans="1:23">
      <c r="A158" s="73" t="str">
        <f t="shared" si="52"/>
        <v>Potato</v>
      </c>
      <c r="B158" s="73"/>
      <c r="C158" s="214"/>
      <c r="D158" s="74">
        <f>(C90*(1-'5.Closing Stock &amp; W Capital'!$D$15))*$C158*D$124</f>
        <v>0</v>
      </c>
      <c r="E158" s="74">
        <f>((D90*(1-'5.Closing Stock &amp; W Capital'!$D$15))+(C90*'5.Closing Stock &amp; W Capital'!$D$15))*$C158*E$124</f>
        <v>0</v>
      </c>
      <c r="F158" s="74">
        <f>((E90*(1-'5.Closing Stock &amp; W Capital'!$D$15))+(D90*'5.Closing Stock &amp; W Capital'!$D$15))*$C158*F$124</f>
        <v>0</v>
      </c>
      <c r="G158" s="74">
        <f>((F90*(1-'5.Closing Stock &amp; W Capital'!$D$15))+(E90*'5.Closing Stock &amp; W Capital'!$D$15))*$C158*G$124</f>
        <v>0</v>
      </c>
      <c r="H158" s="74">
        <f>((G90*(1-'5.Closing Stock &amp; W Capital'!$D$15))+(F90*'5.Closing Stock &amp; W Capital'!$D$15))*$C158*H$124</f>
        <v>0</v>
      </c>
      <c r="I158" s="74">
        <f>((H90*(1-'5.Closing Stock &amp; W Capital'!$D$15))+(G90*'5.Closing Stock &amp; W Capital'!$D$15))*$C158*I$124</f>
        <v>0</v>
      </c>
      <c r="J158" s="74">
        <f>((I90*(1-'5.Closing Stock &amp; W Capital'!$D$15))+(H90*'5.Closing Stock &amp; W Capital'!$D$15))*$C158*J$124</f>
        <v>0</v>
      </c>
      <c r="K158" s="72"/>
      <c r="U158" s="72"/>
      <c r="V158" s="72"/>
      <c r="W158" s="72"/>
    </row>
    <row r="159" spans="1:23">
      <c r="A159" s="73">
        <f t="shared" si="52"/>
        <v>0</v>
      </c>
      <c r="B159" s="73"/>
      <c r="C159" s="214"/>
      <c r="D159" s="74">
        <f>(C91*(1-'5.Closing Stock &amp; W Capital'!$D$15))*$C159*D$124</f>
        <v>0</v>
      </c>
      <c r="E159" s="74">
        <f>((D91*(1-'5.Closing Stock &amp; W Capital'!$D$15))+(C91*'5.Closing Stock &amp; W Capital'!$D$15))*$C159*E$124</f>
        <v>0</v>
      </c>
      <c r="F159" s="74">
        <f>((E91*(1-'5.Closing Stock &amp; W Capital'!$D$15))+(D91*'5.Closing Stock &amp; W Capital'!$D$15))*$C159*F$124</f>
        <v>0</v>
      </c>
      <c r="G159" s="74">
        <f>((F91*(1-'5.Closing Stock &amp; W Capital'!$D$15))+(E91*'5.Closing Stock &amp; W Capital'!$D$15))*$C159*G$124</f>
        <v>0</v>
      </c>
      <c r="H159" s="74">
        <f>((G91*(1-'5.Closing Stock &amp; W Capital'!$D$15))+(F91*'5.Closing Stock &amp; W Capital'!$D$15))*$C159*H$124</f>
        <v>0</v>
      </c>
      <c r="I159" s="74">
        <f>((H91*(1-'5.Closing Stock &amp; W Capital'!$D$15))+(G91*'5.Closing Stock &amp; W Capital'!$D$15))*$C159*I$124</f>
        <v>0</v>
      </c>
      <c r="J159" s="74">
        <f>((I91*(1-'5.Closing Stock &amp; W Capital'!$D$15))+(H91*'5.Closing Stock &amp; W Capital'!$D$15))*$C159*J$124</f>
        <v>0</v>
      </c>
      <c r="K159" s="72"/>
      <c r="U159" s="72"/>
      <c r="V159" s="72"/>
      <c r="W159" s="72"/>
    </row>
    <row r="160" spans="1:23">
      <c r="A160" s="73">
        <f t="shared" si="52"/>
        <v>0</v>
      </c>
      <c r="B160" s="73"/>
      <c r="C160" s="214"/>
      <c r="D160" s="74">
        <f>(C92*(1-'5.Closing Stock &amp; W Capital'!$D$15))*$C160*D$124</f>
        <v>0</v>
      </c>
      <c r="E160" s="74">
        <f>((D92*(1-'5.Closing Stock &amp; W Capital'!$D$15))+(C92*'5.Closing Stock &amp; W Capital'!$D$15))*$C160*E$124</f>
        <v>0</v>
      </c>
      <c r="F160" s="74">
        <f>((E92*(1-'5.Closing Stock &amp; W Capital'!$D$15))+(D92*'5.Closing Stock &amp; W Capital'!$D$15))*$C160*F$124</f>
        <v>0</v>
      </c>
      <c r="G160" s="74">
        <f>((F92*(1-'5.Closing Stock &amp; W Capital'!$D$15))+(E92*'5.Closing Stock &amp; W Capital'!$D$15))*$C160*G$124</f>
        <v>0</v>
      </c>
      <c r="H160" s="74">
        <f>((G92*(1-'5.Closing Stock &amp; W Capital'!$D$15))+(F92*'5.Closing Stock &amp; W Capital'!$D$15))*$C160*H$124</f>
        <v>0</v>
      </c>
      <c r="I160" s="74">
        <f>((H92*(1-'5.Closing Stock &amp; W Capital'!$D$15))+(G92*'5.Closing Stock &amp; W Capital'!$D$15))*$C160*I$124</f>
        <v>0</v>
      </c>
      <c r="J160" s="74">
        <f>((I92*(1-'5.Closing Stock &amp; W Capital'!$D$15))+(H92*'5.Closing Stock &amp; W Capital'!$D$15))*$C160*J$124</f>
        <v>0</v>
      </c>
      <c r="K160" s="72"/>
      <c r="U160" s="72"/>
      <c r="V160" s="72"/>
      <c r="W160" s="72"/>
    </row>
    <row r="161" spans="1:23">
      <c r="A161" s="73">
        <f t="shared" ref="A161:A179" si="53">A40</f>
        <v>0</v>
      </c>
      <c r="B161" s="73"/>
      <c r="C161" s="214"/>
      <c r="D161" s="74">
        <f>(C93*(1-'5.Closing Stock &amp; W Capital'!$D$15))*$C161*D$124</f>
        <v>0</v>
      </c>
      <c r="E161" s="74">
        <f>((D93*(1-'5.Closing Stock &amp; W Capital'!$D$15))+(C93*'5.Closing Stock &amp; W Capital'!$D$15))*$C161*E$124</f>
        <v>0</v>
      </c>
      <c r="F161" s="74">
        <f>((E93*(1-'5.Closing Stock &amp; W Capital'!$D$15))+(D93*'5.Closing Stock &amp; W Capital'!$D$15))*$C161*F$124</f>
        <v>0</v>
      </c>
      <c r="G161" s="74">
        <f>((F93*(1-'5.Closing Stock &amp; W Capital'!$D$15))+(E93*'5.Closing Stock &amp; W Capital'!$D$15))*$C161*G$124</f>
        <v>0</v>
      </c>
      <c r="H161" s="74">
        <f>((G93*(1-'5.Closing Stock &amp; W Capital'!$D$15))+(F93*'5.Closing Stock &amp; W Capital'!$D$15))*$C161*H$124</f>
        <v>0</v>
      </c>
      <c r="I161" s="74">
        <f>((H93*(1-'5.Closing Stock &amp; W Capital'!$D$15))+(G93*'5.Closing Stock &amp; W Capital'!$D$15))*$C161*I$124</f>
        <v>0</v>
      </c>
      <c r="J161" s="74">
        <f>((I93*(1-'5.Closing Stock &amp; W Capital'!$D$15))+(H93*'5.Closing Stock &amp; W Capital'!$D$15))*$C161*J$124</f>
        <v>0</v>
      </c>
      <c r="K161" s="72"/>
      <c r="U161" s="72"/>
      <c r="V161" s="72"/>
      <c r="W161" s="72"/>
    </row>
    <row r="162" spans="1:23">
      <c r="A162" s="73">
        <f t="shared" si="53"/>
        <v>0</v>
      </c>
      <c r="B162" s="73"/>
      <c r="C162" s="214"/>
      <c r="D162" s="74">
        <f>(C94*(1-'5.Closing Stock &amp; W Capital'!$D$15))*$C162*D$124</f>
        <v>0</v>
      </c>
      <c r="E162" s="74">
        <f>((D94*(1-'5.Closing Stock &amp; W Capital'!$D$15))+(C94*'5.Closing Stock &amp; W Capital'!$D$15))*$C162*E$124</f>
        <v>0</v>
      </c>
      <c r="F162" s="74">
        <f>((E94*(1-'5.Closing Stock &amp; W Capital'!$D$15))+(D94*'5.Closing Stock &amp; W Capital'!$D$15))*$C162*F$124</f>
        <v>0</v>
      </c>
      <c r="G162" s="74">
        <f>((F94*(1-'5.Closing Stock &amp; W Capital'!$D$15))+(E94*'5.Closing Stock &amp; W Capital'!$D$15))*$C162*G$124</f>
        <v>0</v>
      </c>
      <c r="H162" s="74">
        <f>((G94*(1-'5.Closing Stock &amp; W Capital'!$D$15))+(F94*'5.Closing Stock &amp; W Capital'!$D$15))*$C162*H$124</f>
        <v>0</v>
      </c>
      <c r="I162" s="74">
        <f>((H94*(1-'5.Closing Stock &amp; W Capital'!$D$15))+(G94*'5.Closing Stock &amp; W Capital'!$D$15))*$C162*I$124</f>
        <v>0</v>
      </c>
      <c r="J162" s="74">
        <f>((I94*(1-'5.Closing Stock &amp; W Capital'!$D$15))+(H94*'5.Closing Stock &amp; W Capital'!$D$15))*$C162*J$124</f>
        <v>0</v>
      </c>
      <c r="K162" s="72"/>
      <c r="U162" s="72"/>
      <c r="V162" s="72"/>
      <c r="W162" s="72"/>
    </row>
    <row r="163" spans="1:23">
      <c r="A163" s="73" t="str">
        <f t="shared" si="53"/>
        <v>Onion</v>
      </c>
      <c r="B163" s="73"/>
      <c r="C163" s="214"/>
      <c r="D163" s="74">
        <f>(C95*(1-'5.Closing Stock &amp; W Capital'!$D$15))*$C163*D$124</f>
        <v>0</v>
      </c>
      <c r="E163" s="74">
        <f>((D95*(1-'5.Closing Stock &amp; W Capital'!$D$15))+(C95*'5.Closing Stock &amp; W Capital'!$D$15))*$C163*E$124</f>
        <v>0</v>
      </c>
      <c r="F163" s="74">
        <f>((E95*(1-'5.Closing Stock &amp; W Capital'!$D$15))+(D95*'5.Closing Stock &amp; W Capital'!$D$15))*$C163*F$124</f>
        <v>0</v>
      </c>
      <c r="G163" s="74">
        <f>((F95*(1-'5.Closing Stock &amp; W Capital'!$D$15))+(E95*'5.Closing Stock &amp; W Capital'!$D$15))*$C163*G$124</f>
        <v>0</v>
      </c>
      <c r="H163" s="74">
        <f>((G95*(1-'5.Closing Stock &amp; W Capital'!$D$15))+(F95*'5.Closing Stock &amp; W Capital'!$D$15))*$C163*H$124</f>
        <v>0</v>
      </c>
      <c r="I163" s="74">
        <f>((H95*(1-'5.Closing Stock &amp; W Capital'!$D$15))+(G95*'5.Closing Stock &amp; W Capital'!$D$15))*$C163*I$124</f>
        <v>0</v>
      </c>
      <c r="J163" s="74">
        <f>((I95*(1-'5.Closing Stock &amp; W Capital'!$D$15))+(H95*'5.Closing Stock &amp; W Capital'!$D$15))*$C163*J$124</f>
        <v>0</v>
      </c>
      <c r="K163" s="72"/>
      <c r="U163" s="72"/>
      <c r="V163" s="72"/>
      <c r="W163" s="72"/>
    </row>
    <row r="164" spans="1:23">
      <c r="A164" s="73" t="str">
        <f t="shared" si="53"/>
        <v>Tomato</v>
      </c>
      <c r="B164" s="73"/>
      <c r="C164" s="214"/>
      <c r="D164" s="74">
        <f>(C96*(1-'5.Closing Stock &amp; W Capital'!$D$15))*$C164*D$124</f>
        <v>0</v>
      </c>
      <c r="E164" s="74">
        <f>((D96*(1-'5.Closing Stock &amp; W Capital'!$D$15))+(C96*'5.Closing Stock &amp; W Capital'!$D$15))*$C164*E$124</f>
        <v>0</v>
      </c>
      <c r="F164" s="74">
        <f>((E96*(1-'5.Closing Stock &amp; W Capital'!$D$15))+(D96*'5.Closing Stock &amp; W Capital'!$D$15))*$C164*F$124</f>
        <v>0</v>
      </c>
      <c r="G164" s="74">
        <f>((F96*(1-'5.Closing Stock &amp; W Capital'!$D$15))+(E96*'5.Closing Stock &amp; W Capital'!$D$15))*$C164*G$124</f>
        <v>0</v>
      </c>
      <c r="H164" s="74">
        <f>((G96*(1-'5.Closing Stock &amp; W Capital'!$D$15))+(F96*'5.Closing Stock &amp; W Capital'!$D$15))*$C164*H$124</f>
        <v>0</v>
      </c>
      <c r="I164" s="74">
        <f>((H96*(1-'5.Closing Stock &amp; W Capital'!$D$15))+(G96*'5.Closing Stock &amp; W Capital'!$D$15))*$C164*I$124</f>
        <v>0</v>
      </c>
      <c r="J164" s="74">
        <f>((I96*(1-'5.Closing Stock &amp; W Capital'!$D$15))+(H96*'5.Closing Stock &amp; W Capital'!$D$15))*$C164*J$124</f>
        <v>0</v>
      </c>
      <c r="K164" s="72"/>
      <c r="U164" s="72"/>
      <c r="V164" s="72"/>
      <c r="W164" s="72"/>
    </row>
    <row r="165" spans="1:23">
      <c r="A165" s="73" t="str">
        <f t="shared" si="53"/>
        <v>Okra</v>
      </c>
      <c r="B165" s="73"/>
      <c r="C165" s="214"/>
      <c r="D165" s="74">
        <f>(C97*(1-'5.Closing Stock &amp; W Capital'!$D$15))*$C165*D$124</f>
        <v>0</v>
      </c>
      <c r="E165" s="74">
        <f>((D97*(1-'5.Closing Stock &amp; W Capital'!$D$15))+(C97*'5.Closing Stock &amp; W Capital'!$D$15))*$C165*E$124</f>
        <v>0</v>
      </c>
      <c r="F165" s="74">
        <f>((E97*(1-'5.Closing Stock &amp; W Capital'!$D$15))+(D97*'5.Closing Stock &amp; W Capital'!$D$15))*$C165*F$124</f>
        <v>0</v>
      </c>
      <c r="G165" s="74">
        <f>((F97*(1-'5.Closing Stock &amp; W Capital'!$D$15))+(E97*'5.Closing Stock &amp; W Capital'!$D$15))*$C165*G$124</f>
        <v>0</v>
      </c>
      <c r="H165" s="74">
        <f>((G97*(1-'5.Closing Stock &amp; W Capital'!$D$15))+(F97*'5.Closing Stock &amp; W Capital'!$D$15))*$C165*H$124</f>
        <v>0</v>
      </c>
      <c r="I165" s="74">
        <f>((H97*(1-'5.Closing Stock &amp; W Capital'!$D$15))+(G97*'5.Closing Stock &amp; W Capital'!$D$15))*$C165*I$124</f>
        <v>0</v>
      </c>
      <c r="J165" s="74">
        <f>((I97*(1-'5.Closing Stock &amp; W Capital'!$D$15))+(H97*'5.Closing Stock &amp; W Capital'!$D$15))*$C165*J$124</f>
        <v>0</v>
      </c>
      <c r="K165" s="72"/>
      <c r="U165" s="72"/>
      <c r="V165" s="72"/>
      <c r="W165" s="72"/>
    </row>
    <row r="166" spans="1:23">
      <c r="A166" s="73" t="str">
        <f t="shared" si="53"/>
        <v>Chilli</v>
      </c>
      <c r="B166" s="73"/>
      <c r="C166" s="214"/>
      <c r="D166" s="74">
        <f>(C98*(1-'5.Closing Stock &amp; W Capital'!$D$15))*$C166*D$124</f>
        <v>0</v>
      </c>
      <c r="E166" s="74">
        <f>((D98*(1-'5.Closing Stock &amp; W Capital'!$D$15))+(C98*'5.Closing Stock &amp; W Capital'!$D$15))*$C166*E$124</f>
        <v>0</v>
      </c>
      <c r="F166" s="74">
        <f>((E98*(1-'5.Closing Stock &amp; W Capital'!$D$15))+(D98*'5.Closing Stock &amp; W Capital'!$D$15))*$C166*F$124</f>
        <v>0</v>
      </c>
      <c r="G166" s="74">
        <f>((F98*(1-'5.Closing Stock &amp; W Capital'!$D$15))+(E98*'5.Closing Stock &amp; W Capital'!$D$15))*$C166*G$124</f>
        <v>0</v>
      </c>
      <c r="H166" s="74">
        <f>((G98*(1-'5.Closing Stock &amp; W Capital'!$D$15))+(F98*'5.Closing Stock &amp; W Capital'!$D$15))*$C166*H$124</f>
        <v>0</v>
      </c>
      <c r="I166" s="74">
        <f>((H98*(1-'5.Closing Stock &amp; W Capital'!$D$15))+(G98*'5.Closing Stock &amp; W Capital'!$D$15))*$C166*I$124</f>
        <v>0</v>
      </c>
      <c r="J166" s="74">
        <f>((I98*(1-'5.Closing Stock &amp; W Capital'!$D$15))+(H98*'5.Closing Stock &amp; W Capital'!$D$15))*$C166*J$124</f>
        <v>0</v>
      </c>
      <c r="K166" s="72"/>
      <c r="U166" s="72"/>
      <c r="V166" s="72"/>
      <c r="W166" s="72"/>
    </row>
    <row r="167" spans="1:23">
      <c r="A167" s="73" t="str">
        <f t="shared" si="53"/>
        <v>Brinjal</v>
      </c>
      <c r="B167" s="73"/>
      <c r="C167" s="214"/>
      <c r="D167" s="74">
        <f>(C99*(1-'5.Closing Stock &amp; W Capital'!$D$15))*$C167*D$124</f>
        <v>0</v>
      </c>
      <c r="E167" s="74">
        <f>((D99*(1-'5.Closing Stock &amp; W Capital'!$D$15))+(C99*'5.Closing Stock &amp; W Capital'!$D$15))*$C167*E$124</f>
        <v>0</v>
      </c>
      <c r="F167" s="74">
        <f>((E99*(1-'5.Closing Stock &amp; W Capital'!$D$15))+(D99*'5.Closing Stock &amp; W Capital'!$D$15))*$C167*F$124</f>
        <v>0</v>
      </c>
      <c r="G167" s="74">
        <f>((F99*(1-'5.Closing Stock &amp; W Capital'!$D$15))+(E99*'5.Closing Stock &amp; W Capital'!$D$15))*$C167*G$124</f>
        <v>0</v>
      </c>
      <c r="H167" s="74">
        <f>((G99*(1-'5.Closing Stock &amp; W Capital'!$D$15))+(F99*'5.Closing Stock &amp; W Capital'!$D$15))*$C167*H$124</f>
        <v>0</v>
      </c>
      <c r="I167" s="74">
        <f>((H99*(1-'5.Closing Stock &amp; W Capital'!$D$15))+(G99*'5.Closing Stock &amp; W Capital'!$D$15))*$C167*I$124</f>
        <v>0</v>
      </c>
      <c r="J167" s="74">
        <f>((I99*(1-'5.Closing Stock &amp; W Capital'!$D$15))+(H99*'5.Closing Stock &amp; W Capital'!$D$15))*$C167*J$124</f>
        <v>0</v>
      </c>
      <c r="K167" s="72"/>
      <c r="U167" s="72"/>
      <c r="V167" s="72"/>
      <c r="W167" s="72"/>
    </row>
    <row r="168" spans="1:23">
      <c r="A168" s="73">
        <f t="shared" si="53"/>
        <v>0</v>
      </c>
      <c r="B168" s="73"/>
      <c r="C168" s="214"/>
      <c r="D168" s="74">
        <f>(C100*(1-'5.Closing Stock &amp; W Capital'!$D$15))*$C168*D$124</f>
        <v>0</v>
      </c>
      <c r="E168" s="74">
        <f>((D100*(1-'5.Closing Stock &amp; W Capital'!$D$15))+(C100*'5.Closing Stock &amp; W Capital'!$D$15))*$C168*E$124</f>
        <v>0</v>
      </c>
      <c r="F168" s="74">
        <f>((E100*(1-'5.Closing Stock &amp; W Capital'!$D$15))+(D100*'5.Closing Stock &amp; W Capital'!$D$15))*$C168*F$124</f>
        <v>0</v>
      </c>
      <c r="G168" s="74">
        <f>((F100*(1-'5.Closing Stock &amp; W Capital'!$D$15))+(E100*'5.Closing Stock &amp; W Capital'!$D$15))*$C168*G$124</f>
        <v>0</v>
      </c>
      <c r="H168" s="74">
        <f>((G100*(1-'5.Closing Stock &amp; W Capital'!$D$15))+(F100*'5.Closing Stock &amp; W Capital'!$D$15))*$C168*H$124</f>
        <v>0</v>
      </c>
      <c r="I168" s="74">
        <f>((H100*(1-'5.Closing Stock &amp; W Capital'!$D$15))+(G100*'5.Closing Stock &amp; W Capital'!$D$15))*$C168*I$124</f>
        <v>0</v>
      </c>
      <c r="J168" s="74">
        <f>((I100*(1-'5.Closing Stock &amp; W Capital'!$D$15))+(H100*'5.Closing Stock &amp; W Capital'!$D$15))*$C168*J$124</f>
        <v>0</v>
      </c>
      <c r="K168" s="72"/>
      <c r="U168" s="72"/>
      <c r="V168" s="72"/>
      <c r="W168" s="72"/>
    </row>
    <row r="169" spans="1:23">
      <c r="A169" s="73">
        <f t="shared" si="53"/>
        <v>0</v>
      </c>
      <c r="B169" s="73"/>
      <c r="C169" s="214"/>
      <c r="D169" s="74">
        <f>(C101*(1-'5.Closing Stock &amp; W Capital'!$D$15))*$C169*D$124</f>
        <v>0</v>
      </c>
      <c r="E169" s="74">
        <f>((D101*(1-'5.Closing Stock &amp; W Capital'!$D$15))+(C101*'5.Closing Stock &amp; W Capital'!$D$15))*$C169*E$124</f>
        <v>0</v>
      </c>
      <c r="F169" s="74">
        <f>((E101*(1-'5.Closing Stock &amp; W Capital'!$D$15))+(D101*'5.Closing Stock &amp; W Capital'!$D$15))*$C169*F$124</f>
        <v>0</v>
      </c>
      <c r="G169" s="74">
        <f>((F101*(1-'5.Closing Stock &amp; W Capital'!$D$15))+(E101*'5.Closing Stock &amp; W Capital'!$D$15))*$C169*G$124</f>
        <v>0</v>
      </c>
      <c r="H169" s="74">
        <f>((G101*(1-'5.Closing Stock &amp; W Capital'!$D$15))+(F101*'5.Closing Stock &amp; W Capital'!$D$15))*$C169*H$124</f>
        <v>0</v>
      </c>
      <c r="I169" s="74">
        <f>((H101*(1-'5.Closing Stock &amp; W Capital'!$D$15))+(G101*'5.Closing Stock &amp; W Capital'!$D$15))*$C169*I$124</f>
        <v>0</v>
      </c>
      <c r="J169" s="74">
        <f>((I101*(1-'5.Closing Stock &amp; W Capital'!$D$15))+(H101*'5.Closing Stock &amp; W Capital'!$D$15))*$C169*J$124</f>
        <v>0</v>
      </c>
      <c r="K169" s="72"/>
      <c r="U169" s="72"/>
      <c r="V169" s="72"/>
      <c r="W169" s="72"/>
    </row>
    <row r="170" spans="1:23">
      <c r="A170" s="73">
        <f t="shared" si="53"/>
        <v>0</v>
      </c>
      <c r="B170" s="73"/>
      <c r="C170" s="214"/>
      <c r="D170" s="74">
        <f>(C102*(1-'5.Closing Stock &amp; W Capital'!$D$15))*$C170*D$124</f>
        <v>0</v>
      </c>
      <c r="E170" s="74">
        <f>((D102*(1-'5.Closing Stock &amp; W Capital'!$D$15))+(C102*'5.Closing Stock &amp; W Capital'!$D$15))*$C170*E$124</f>
        <v>0</v>
      </c>
      <c r="F170" s="74">
        <f>((E102*(1-'5.Closing Stock &amp; W Capital'!$D$15))+(D102*'5.Closing Stock &amp; W Capital'!$D$15))*$C170*F$124</f>
        <v>0</v>
      </c>
      <c r="G170" s="74">
        <f>((F102*(1-'5.Closing Stock &amp; W Capital'!$D$15))+(E102*'5.Closing Stock &amp; W Capital'!$D$15))*$C170*G$124</f>
        <v>0</v>
      </c>
      <c r="H170" s="74">
        <f>((G102*(1-'5.Closing Stock &amp; W Capital'!$D$15))+(F102*'5.Closing Stock &amp; W Capital'!$D$15))*$C170*H$124</f>
        <v>0</v>
      </c>
      <c r="I170" s="74">
        <f>((H102*(1-'5.Closing Stock &amp; W Capital'!$D$15))+(G102*'5.Closing Stock &amp; W Capital'!$D$15))*$C170*I$124</f>
        <v>0</v>
      </c>
      <c r="J170" s="74">
        <f>((I102*(1-'5.Closing Stock &amp; W Capital'!$D$15))+(H102*'5.Closing Stock &amp; W Capital'!$D$15))*$C170*J$124</f>
        <v>0</v>
      </c>
      <c r="K170" s="72"/>
      <c r="U170" s="72"/>
      <c r="V170" s="72"/>
      <c r="W170" s="72"/>
    </row>
    <row r="171" spans="1:23">
      <c r="A171" s="73">
        <f t="shared" si="53"/>
        <v>0</v>
      </c>
      <c r="B171" s="73"/>
      <c r="C171" s="214"/>
      <c r="D171" s="74">
        <f>(C103*(1-'5.Closing Stock &amp; W Capital'!$D$15))*$C171*D$124</f>
        <v>0</v>
      </c>
      <c r="E171" s="74">
        <f>((D103*(1-'5.Closing Stock &amp; W Capital'!$D$15))+(C103*'5.Closing Stock &amp; W Capital'!$D$15))*$C171*E$124</f>
        <v>0</v>
      </c>
      <c r="F171" s="74">
        <f>((E103*(1-'5.Closing Stock &amp; W Capital'!$D$15))+(D103*'5.Closing Stock &amp; W Capital'!$D$15))*$C171*F$124</f>
        <v>0</v>
      </c>
      <c r="G171" s="74">
        <f>((F103*(1-'5.Closing Stock &amp; W Capital'!$D$15))+(E103*'5.Closing Stock &amp; W Capital'!$D$15))*$C171*G$124</f>
        <v>0</v>
      </c>
      <c r="H171" s="74">
        <f>((G103*(1-'5.Closing Stock &amp; W Capital'!$D$15))+(F103*'5.Closing Stock &amp; W Capital'!$D$15))*$C171*H$124</f>
        <v>0</v>
      </c>
      <c r="I171" s="74">
        <f>((H103*(1-'5.Closing Stock &amp; W Capital'!$D$15))+(G103*'5.Closing Stock &amp; W Capital'!$D$15))*$C171*I$124</f>
        <v>0</v>
      </c>
      <c r="J171" s="74">
        <f>((I103*(1-'5.Closing Stock &amp; W Capital'!$D$15))+(H103*'5.Closing Stock &amp; W Capital'!$D$15))*$C171*J$124</f>
        <v>0</v>
      </c>
      <c r="K171" s="72"/>
      <c r="U171" s="72"/>
      <c r="V171" s="72"/>
      <c r="W171" s="72"/>
    </row>
    <row r="172" spans="1:23">
      <c r="A172" s="73">
        <f t="shared" si="53"/>
        <v>0</v>
      </c>
      <c r="B172" s="73"/>
      <c r="C172" s="214"/>
      <c r="D172" s="74">
        <f>(C104*(1-'5.Closing Stock &amp; W Capital'!$D$15))*$C172*D$124</f>
        <v>0</v>
      </c>
      <c r="E172" s="74">
        <f>((D104*(1-'5.Closing Stock &amp; W Capital'!$D$15))+(C104*'5.Closing Stock &amp; W Capital'!$D$15))*$C172*E$124</f>
        <v>0</v>
      </c>
      <c r="F172" s="74">
        <f>((E104*(1-'5.Closing Stock &amp; W Capital'!$D$15))+(D104*'5.Closing Stock &amp; W Capital'!$D$15))*$C172*F$124</f>
        <v>0</v>
      </c>
      <c r="G172" s="74">
        <f>((F104*(1-'5.Closing Stock &amp; W Capital'!$D$15))+(E104*'5.Closing Stock &amp; W Capital'!$D$15))*$C172*G$124</f>
        <v>0</v>
      </c>
      <c r="H172" s="74">
        <f>((G104*(1-'5.Closing Stock &amp; W Capital'!$D$15))+(F104*'5.Closing Stock &amp; W Capital'!$D$15))*$C172*H$124</f>
        <v>0</v>
      </c>
      <c r="I172" s="74">
        <f>((H104*(1-'5.Closing Stock &amp; W Capital'!$D$15))+(G104*'5.Closing Stock &amp; W Capital'!$D$15))*$C172*I$124</f>
        <v>0</v>
      </c>
      <c r="J172" s="74">
        <f>((I104*(1-'5.Closing Stock &amp; W Capital'!$D$15))+(H104*'5.Closing Stock &amp; W Capital'!$D$15))*$C172*J$124</f>
        <v>0</v>
      </c>
      <c r="K172" s="72"/>
      <c r="U172" s="72"/>
      <c r="V172" s="72"/>
      <c r="W172" s="72"/>
    </row>
    <row r="173" spans="1:23">
      <c r="A173" s="73">
        <f t="shared" si="53"/>
        <v>0</v>
      </c>
      <c r="B173" s="73"/>
      <c r="C173" s="214"/>
      <c r="D173" s="74">
        <f>(C105*(1-'5.Closing Stock &amp; W Capital'!$D$15))*$C173*D$124</f>
        <v>0</v>
      </c>
      <c r="E173" s="74">
        <f>((D105*(1-'5.Closing Stock &amp; W Capital'!$D$15))+(C105*'5.Closing Stock &amp; W Capital'!$D$15))*$C173*E$124</f>
        <v>0</v>
      </c>
      <c r="F173" s="74">
        <f>((E105*(1-'5.Closing Stock &amp; W Capital'!$D$15))+(D105*'5.Closing Stock &amp; W Capital'!$D$15))*$C173*F$124</f>
        <v>0</v>
      </c>
      <c r="G173" s="74">
        <f>((F105*(1-'5.Closing Stock &amp; W Capital'!$D$15))+(E105*'5.Closing Stock &amp; W Capital'!$D$15))*$C173*G$124</f>
        <v>0</v>
      </c>
      <c r="H173" s="74">
        <f>((G105*(1-'5.Closing Stock &amp; W Capital'!$D$15))+(F105*'5.Closing Stock &amp; W Capital'!$D$15))*$C173*H$124</f>
        <v>0</v>
      </c>
      <c r="I173" s="74">
        <f>((H105*(1-'5.Closing Stock &amp; W Capital'!$D$15))+(G105*'5.Closing Stock &amp; W Capital'!$D$15))*$C173*I$124</f>
        <v>0</v>
      </c>
      <c r="J173" s="74">
        <f>((I105*(1-'5.Closing Stock &amp; W Capital'!$D$15))+(H105*'5.Closing Stock &amp; W Capital'!$D$15))*$C173*J$124</f>
        <v>0</v>
      </c>
      <c r="K173" s="72"/>
      <c r="U173" s="72"/>
      <c r="V173" s="72"/>
      <c r="W173" s="72"/>
    </row>
    <row r="174" spans="1:23">
      <c r="A174" s="73">
        <f t="shared" si="53"/>
        <v>0</v>
      </c>
      <c r="B174" s="73"/>
      <c r="C174" s="214"/>
      <c r="D174" s="74">
        <f>(C106*(1-'5.Closing Stock &amp; W Capital'!$D$15))*$C174*D$124</f>
        <v>0</v>
      </c>
      <c r="E174" s="74">
        <f>((D106*(1-'5.Closing Stock &amp; W Capital'!$D$15))+(C106*'5.Closing Stock &amp; W Capital'!$D$15))*$C174*E$124</f>
        <v>0</v>
      </c>
      <c r="F174" s="74">
        <f>((E106*(1-'5.Closing Stock &amp; W Capital'!$D$15))+(D106*'5.Closing Stock &amp; W Capital'!$D$15))*$C174*F$124</f>
        <v>0</v>
      </c>
      <c r="G174" s="74">
        <f>((F106*(1-'5.Closing Stock &amp; W Capital'!$D$15))+(E106*'5.Closing Stock &amp; W Capital'!$D$15))*$C174*G$124</f>
        <v>0</v>
      </c>
      <c r="H174" s="74">
        <f>((G106*(1-'5.Closing Stock &amp; W Capital'!$D$15))+(F106*'5.Closing Stock &amp; W Capital'!$D$15))*$C174*H$124</f>
        <v>0</v>
      </c>
      <c r="I174" s="74">
        <f>((H106*(1-'5.Closing Stock &amp; W Capital'!$D$15))+(G106*'5.Closing Stock &amp; W Capital'!$D$15))*$C174*I$124</f>
        <v>0</v>
      </c>
      <c r="J174" s="74">
        <f>((I106*(1-'5.Closing Stock &amp; W Capital'!$D$15))+(H106*'5.Closing Stock &amp; W Capital'!$D$15))*$C174*J$124</f>
        <v>0</v>
      </c>
      <c r="K174" s="72"/>
      <c r="U174" s="72"/>
      <c r="V174" s="72"/>
      <c r="W174" s="72"/>
    </row>
    <row r="175" spans="1:23">
      <c r="A175" s="73" t="str">
        <f t="shared" si="53"/>
        <v>Pomegranate</v>
      </c>
      <c r="B175" s="73"/>
      <c r="C175" s="214"/>
      <c r="D175" s="74">
        <f>(C107*(1-'5.Closing Stock &amp; W Capital'!$D$15))*$C175*D$124</f>
        <v>0</v>
      </c>
      <c r="E175" s="74">
        <f>((D107*(1-'5.Closing Stock &amp; W Capital'!$D$15))+(C107*'5.Closing Stock &amp; W Capital'!$D$15))*$C175*E$124</f>
        <v>0</v>
      </c>
      <c r="F175" s="74">
        <f>((E107*(1-'5.Closing Stock &amp; W Capital'!$D$15))+(D107*'5.Closing Stock &amp; W Capital'!$D$15))*$C175*F$124</f>
        <v>0</v>
      </c>
      <c r="G175" s="74">
        <f>((F107*(1-'5.Closing Stock &amp; W Capital'!$D$15))+(E107*'5.Closing Stock &amp; W Capital'!$D$15))*$C175*G$124</f>
        <v>0</v>
      </c>
      <c r="H175" s="74">
        <f>((G107*(1-'5.Closing Stock &amp; W Capital'!$D$15))+(F107*'5.Closing Stock &amp; W Capital'!$D$15))*$C175*H$124</f>
        <v>0</v>
      </c>
      <c r="I175" s="74">
        <f>((H107*(1-'5.Closing Stock &amp; W Capital'!$D$15))+(G107*'5.Closing Stock &amp; W Capital'!$D$15))*$C175*I$124</f>
        <v>0</v>
      </c>
      <c r="J175" s="74">
        <f>((I107*(1-'5.Closing Stock &amp; W Capital'!$D$15))+(H107*'5.Closing Stock &amp; W Capital'!$D$15))*$C175*J$124</f>
        <v>0</v>
      </c>
      <c r="K175" s="72"/>
      <c r="U175" s="72"/>
      <c r="V175" s="72"/>
      <c r="W175" s="72"/>
    </row>
    <row r="176" spans="1:23">
      <c r="A176" s="73" t="str">
        <f t="shared" si="53"/>
        <v>Custard Apple</v>
      </c>
      <c r="B176" s="73"/>
      <c r="C176" s="214"/>
      <c r="D176" s="74">
        <f>(C108*(1-'5.Closing Stock &amp; W Capital'!$D$15))*$C176*D$124</f>
        <v>0</v>
      </c>
      <c r="E176" s="74">
        <f>((D108*(1-'5.Closing Stock &amp; W Capital'!$D$15))+(C108*'5.Closing Stock &amp; W Capital'!$D$15))*$C176*E$124</f>
        <v>0</v>
      </c>
      <c r="F176" s="74">
        <f>((E108*(1-'5.Closing Stock &amp; W Capital'!$D$15))+(D108*'5.Closing Stock &amp; W Capital'!$D$15))*$C176*F$124</f>
        <v>0</v>
      </c>
      <c r="G176" s="74">
        <f>((F108*(1-'5.Closing Stock &amp; W Capital'!$D$15))+(E108*'5.Closing Stock &amp; W Capital'!$D$15))*$C176*G$124</f>
        <v>0</v>
      </c>
      <c r="H176" s="74">
        <f>((G108*(1-'5.Closing Stock &amp; W Capital'!$D$15))+(F108*'5.Closing Stock &amp; W Capital'!$D$15))*$C176*H$124</f>
        <v>0</v>
      </c>
      <c r="I176" s="74">
        <f>((H108*(1-'5.Closing Stock &amp; W Capital'!$D$15))+(G108*'5.Closing Stock &amp; W Capital'!$D$15))*$C176*I$124</f>
        <v>0</v>
      </c>
      <c r="J176" s="74">
        <f>((I108*(1-'5.Closing Stock &amp; W Capital'!$D$15))+(H108*'5.Closing Stock &amp; W Capital'!$D$15))*$C176*J$124</f>
        <v>0</v>
      </c>
      <c r="K176" s="72"/>
      <c r="U176" s="72"/>
      <c r="V176" s="72"/>
      <c r="W176" s="72"/>
    </row>
    <row r="177" spans="1:23">
      <c r="A177" s="73" t="str">
        <f t="shared" si="53"/>
        <v>Guava</v>
      </c>
      <c r="B177" s="73"/>
      <c r="C177" s="214"/>
      <c r="D177" s="74">
        <f>(C109*(1-'5.Closing Stock &amp; W Capital'!$D$15))*$C177*D$124</f>
        <v>0</v>
      </c>
      <c r="E177" s="74">
        <f>((D109*(1-'5.Closing Stock &amp; W Capital'!$D$15))+(C109*'5.Closing Stock &amp; W Capital'!$D$15))*$C177*E$124</f>
        <v>0</v>
      </c>
      <c r="F177" s="74">
        <f>((E109*(1-'5.Closing Stock &amp; W Capital'!$D$15))+(D109*'5.Closing Stock &amp; W Capital'!$D$15))*$C177*F$124</f>
        <v>0</v>
      </c>
      <c r="G177" s="74">
        <f>((F109*(1-'5.Closing Stock &amp; W Capital'!$D$15))+(E109*'5.Closing Stock &amp; W Capital'!$D$15))*$C177*G$124</f>
        <v>0</v>
      </c>
      <c r="H177" s="74">
        <f>((G109*(1-'5.Closing Stock &amp; W Capital'!$D$15))+(F109*'5.Closing Stock &amp; W Capital'!$D$15))*$C177*H$124</f>
        <v>0</v>
      </c>
      <c r="I177" s="74">
        <f>((H109*(1-'5.Closing Stock &amp; W Capital'!$D$15))+(G109*'5.Closing Stock &amp; W Capital'!$D$15))*$C177*I$124</f>
        <v>0</v>
      </c>
      <c r="J177" s="74">
        <f>((I109*(1-'5.Closing Stock &amp; W Capital'!$D$15))+(H109*'5.Closing Stock &amp; W Capital'!$D$15))*$C177*J$124</f>
        <v>0</v>
      </c>
      <c r="K177" s="72"/>
      <c r="U177" s="72"/>
      <c r="V177" s="72"/>
      <c r="W177" s="72"/>
    </row>
    <row r="178" spans="1:23">
      <c r="A178" s="73" t="str">
        <f t="shared" si="53"/>
        <v>Citrus</v>
      </c>
      <c r="B178" s="73"/>
      <c r="C178" s="214"/>
      <c r="D178" s="74">
        <f>(C110*(1-'5.Closing Stock &amp; W Capital'!$D$15))*$C178*D$124</f>
        <v>0</v>
      </c>
      <c r="E178" s="74">
        <f>((D110*(1-'5.Closing Stock &amp; W Capital'!$D$15))+(C110*'5.Closing Stock &amp; W Capital'!$D$15))*$C178*E$124</f>
        <v>0</v>
      </c>
      <c r="F178" s="74">
        <f>((E110*(1-'5.Closing Stock &amp; W Capital'!$D$15))+(D110*'5.Closing Stock &amp; W Capital'!$D$15))*$C178*F$124</f>
        <v>0</v>
      </c>
      <c r="G178" s="74">
        <f>((F110*(1-'5.Closing Stock &amp; W Capital'!$D$15))+(E110*'5.Closing Stock &amp; W Capital'!$D$15))*$C178*G$124</f>
        <v>0</v>
      </c>
      <c r="H178" s="74">
        <f>((G110*(1-'5.Closing Stock &amp; W Capital'!$D$15))+(F110*'5.Closing Stock &amp; W Capital'!$D$15))*$C178*H$124</f>
        <v>0</v>
      </c>
      <c r="I178" s="74">
        <f>((H110*(1-'5.Closing Stock &amp; W Capital'!$D$15))+(G110*'5.Closing Stock &amp; W Capital'!$D$15))*$C178*I$124</f>
        <v>0</v>
      </c>
      <c r="J178" s="74">
        <f>((I110*(1-'5.Closing Stock &amp; W Capital'!$D$15))+(H110*'5.Closing Stock &amp; W Capital'!$D$15))*$C178*J$124</f>
        <v>0</v>
      </c>
      <c r="K178" s="72"/>
      <c r="U178" s="72"/>
      <c r="V178" s="72"/>
      <c r="W178" s="72"/>
    </row>
    <row r="179" spans="1:23">
      <c r="A179" s="73">
        <f t="shared" si="53"/>
        <v>0</v>
      </c>
      <c r="B179" s="73"/>
      <c r="C179" s="214"/>
      <c r="D179" s="74"/>
      <c r="E179" s="74"/>
      <c r="F179" s="74"/>
      <c r="G179" s="74"/>
      <c r="H179" s="74"/>
      <c r="I179" s="74"/>
      <c r="J179" s="74"/>
      <c r="K179" s="72"/>
      <c r="U179" s="72"/>
      <c r="V179" s="72"/>
      <c r="W179" s="72"/>
    </row>
    <row r="180" spans="1:23">
      <c r="A180" s="73"/>
      <c r="B180" s="73"/>
      <c r="C180" s="74"/>
      <c r="D180" s="74"/>
      <c r="E180" s="74"/>
      <c r="F180" s="74"/>
      <c r="G180" s="74"/>
      <c r="H180" s="74"/>
      <c r="I180" s="74"/>
      <c r="J180" s="74"/>
      <c r="K180" s="72"/>
      <c r="U180" s="72"/>
      <c r="V180" s="72"/>
      <c r="W180" s="72"/>
    </row>
    <row r="181" spans="1:23">
      <c r="A181" s="73" t="s">
        <v>283</v>
      </c>
      <c r="B181" s="73"/>
      <c r="C181" s="74" t="s">
        <v>681</v>
      </c>
      <c r="D181" s="74"/>
      <c r="E181" s="74"/>
      <c r="F181" s="74"/>
      <c r="G181" s="74"/>
      <c r="H181" s="74"/>
      <c r="I181" s="74"/>
      <c r="J181" s="74"/>
      <c r="K181" s="72"/>
      <c r="U181" s="72"/>
      <c r="V181" s="72"/>
      <c r="W181" s="72"/>
    </row>
    <row r="182" spans="1:23">
      <c r="A182" s="73" t="s">
        <v>394</v>
      </c>
      <c r="B182" s="73"/>
      <c r="C182" s="214">
        <f>350/50</f>
        <v>7</v>
      </c>
      <c r="D182" s="74">
        <f>(C114*(1-'5.Closing Stock &amp; W Capital'!$D$15))*$C$182*D124</f>
        <v>0</v>
      </c>
      <c r="E182" s="74">
        <f>((D114*(1-'5.Closing Stock &amp; W Capital'!$D$15))+(C114*'5.Closing Stock &amp; W Capital'!$D$15))*$C$182*E124</f>
        <v>0</v>
      </c>
      <c r="F182" s="74">
        <f>((E114*(1-'5.Closing Stock &amp; W Capital'!$D$15))+(D114*'5.Closing Stock &amp; W Capital'!$D$15))*$C$182*F124</f>
        <v>0</v>
      </c>
      <c r="G182" s="74">
        <f>((F114*(1-'5.Closing Stock &amp; W Capital'!$D$15))+(E114*'5.Closing Stock &amp; W Capital'!$D$15))*$C$182*G124</f>
        <v>0</v>
      </c>
      <c r="H182" s="74">
        <f>((G114*(1-'5.Closing Stock &amp; W Capital'!$D$15))+(F114*'5.Closing Stock &amp; W Capital'!$D$15))*$C$182*H124</f>
        <v>0</v>
      </c>
      <c r="I182" s="74">
        <f>((H114*(1-'5.Closing Stock &amp; W Capital'!$D$15))+(G114*'5.Closing Stock &amp; W Capital'!$D$15))*$C$182*I124</f>
        <v>0</v>
      </c>
      <c r="J182" s="74">
        <f>((I114*(1-'5.Closing Stock &amp; W Capital'!$D$15))+(H114*'5.Closing Stock &amp; W Capital'!$D$15))*$C$182*J124</f>
        <v>0</v>
      </c>
      <c r="K182" s="72"/>
      <c r="U182" s="72"/>
      <c r="V182" s="72"/>
      <c r="W182" s="72"/>
    </row>
    <row r="183" spans="1:23">
      <c r="A183" s="73" t="s">
        <v>177</v>
      </c>
      <c r="B183" s="73"/>
      <c r="C183" s="214">
        <v>8</v>
      </c>
      <c r="D183" s="74">
        <f>(C115*(1-'5.Closing Stock &amp; W Capital'!$D$15))*$C$183*D124</f>
        <v>0</v>
      </c>
      <c r="E183" s="74">
        <f>((D115*(1-'5.Closing Stock &amp; W Capital'!$D$15))+(C115*'5.Closing Stock &amp; W Capital'!$D$15))*$C$183*E124</f>
        <v>0</v>
      </c>
      <c r="F183" s="74">
        <f>((E115*(1-'5.Closing Stock &amp; W Capital'!$D$15))+(D115*'5.Closing Stock &amp; W Capital'!$D$15))*$C$183*F124</f>
        <v>0</v>
      </c>
      <c r="G183" s="74">
        <f>((F115*(1-'5.Closing Stock &amp; W Capital'!$D$15))+(E115*'5.Closing Stock &amp; W Capital'!$D$15))*$C$183*G124</f>
        <v>0</v>
      </c>
      <c r="H183" s="74">
        <f>((G115*(1-'5.Closing Stock &amp; W Capital'!$D$15))+(F115*'5.Closing Stock &amp; W Capital'!$D$15))*$C$183*H124</f>
        <v>0</v>
      </c>
      <c r="I183" s="74">
        <f>((H115*(1-'5.Closing Stock &amp; W Capital'!$D$15))+(G115*'5.Closing Stock &amp; W Capital'!$D$15))*$C$183*I124</f>
        <v>0</v>
      </c>
      <c r="J183" s="74">
        <f>((I115*(1-'5.Closing Stock &amp; W Capital'!$D$15))+(H115*'5.Closing Stock &amp; W Capital'!$D$15))*$C$183*J124</f>
        <v>0</v>
      </c>
      <c r="K183" s="72"/>
      <c r="U183" s="72"/>
      <c r="V183" s="72"/>
      <c r="W183" s="72"/>
    </row>
    <row r="184" spans="1:23">
      <c r="A184" s="73" t="s">
        <v>179</v>
      </c>
      <c r="B184" s="73"/>
      <c r="C184" s="214">
        <v>30</v>
      </c>
      <c r="D184" s="74">
        <f>(C116*(1-'5.Closing Stock &amp; W Capital'!$D$15))*$C$184*D124</f>
        <v>0</v>
      </c>
      <c r="E184" s="74">
        <f>((D116*(1-'5.Closing Stock &amp; W Capital'!$D$15))+(C116*'5.Closing Stock &amp; W Capital'!$D$15))*$C$184*E124</f>
        <v>0</v>
      </c>
      <c r="F184" s="74">
        <f>((E116*(1-'5.Closing Stock &amp; W Capital'!$D$15))+(D116*'5.Closing Stock &amp; W Capital'!$D$15))*$C$184*F124</f>
        <v>0</v>
      </c>
      <c r="G184" s="74">
        <f>((F116*(1-'5.Closing Stock &amp; W Capital'!$D$15))+(E116*'5.Closing Stock &amp; W Capital'!$D$15))*$C$184*G124</f>
        <v>0</v>
      </c>
      <c r="H184" s="74">
        <f>((G116*(1-'5.Closing Stock &amp; W Capital'!$D$15))+(F116*'5.Closing Stock &amp; W Capital'!$D$15))*$C$184*H124</f>
        <v>0</v>
      </c>
      <c r="I184" s="74">
        <f>((H116*(1-'5.Closing Stock &amp; W Capital'!$D$15))+(G116*'5.Closing Stock &amp; W Capital'!$D$15))*$C$184*I124</f>
        <v>0</v>
      </c>
      <c r="J184" s="74">
        <f>((I116*(1-'5.Closing Stock &amp; W Capital'!$D$15))+(H116*'5.Closing Stock &amp; W Capital'!$D$15))*$C$184*J124</f>
        <v>0</v>
      </c>
      <c r="K184" s="72"/>
      <c r="U184" s="72"/>
      <c r="V184" s="72"/>
      <c r="W184" s="72"/>
    </row>
    <row r="185" spans="1:23">
      <c r="A185" s="73"/>
      <c r="B185" s="73"/>
      <c r="C185" s="74"/>
      <c r="D185" s="74"/>
      <c r="E185" s="74"/>
      <c r="F185" s="74"/>
      <c r="G185" s="74"/>
      <c r="H185" s="74"/>
      <c r="I185" s="74"/>
      <c r="J185" s="74"/>
      <c r="K185" s="72"/>
      <c r="U185" s="72"/>
      <c r="V185" s="72"/>
      <c r="W185" s="72"/>
    </row>
    <row r="186" spans="1:23">
      <c r="A186" s="73" t="s">
        <v>178</v>
      </c>
      <c r="B186" s="73"/>
      <c r="C186" s="74" t="s">
        <v>682</v>
      </c>
      <c r="D186" s="74"/>
      <c r="E186" s="74"/>
      <c r="F186" s="74"/>
      <c r="G186" s="74"/>
      <c r="H186" s="74"/>
      <c r="I186" s="74"/>
      <c r="J186" s="74"/>
      <c r="K186" s="72"/>
      <c r="U186" s="72"/>
      <c r="V186" s="72"/>
      <c r="W186" s="72"/>
    </row>
    <row r="187" spans="1:23">
      <c r="A187" s="73" t="s">
        <v>182</v>
      </c>
      <c r="B187" s="73"/>
      <c r="C187" s="214">
        <v>3000</v>
      </c>
      <c r="D187" s="74">
        <f>(C118*(1-'5.Closing Stock &amp; W Capital'!$D$15))*$C$187*D124</f>
        <v>0</v>
      </c>
      <c r="E187" s="74">
        <f>((D118*(1-'5.Closing Stock &amp; W Capital'!$D$15))+(C118*'5.Closing Stock &amp; W Capital'!$D$15))*$C$187*E124</f>
        <v>0</v>
      </c>
      <c r="F187" s="74">
        <f>((E118*(1-'5.Closing Stock &amp; W Capital'!$D$15))+(D118*'5.Closing Stock &amp; W Capital'!$D$15))*$C$187*F124</f>
        <v>0</v>
      </c>
      <c r="G187" s="74">
        <f>((F118*(1-'5.Closing Stock &amp; W Capital'!$D$15))+(E118*'5.Closing Stock &amp; W Capital'!$D$15))*$C$187*G124</f>
        <v>0</v>
      </c>
      <c r="H187" s="74">
        <f>((G118*(1-'5.Closing Stock &amp; W Capital'!$D$15))+(F118*'5.Closing Stock &amp; W Capital'!$D$15))*$C$187*H124</f>
        <v>0</v>
      </c>
      <c r="I187" s="74">
        <f>((H118*(1-'5.Closing Stock &amp; W Capital'!$D$15))+(G118*'5.Closing Stock &amp; W Capital'!$D$15))*$C$187*I124</f>
        <v>0</v>
      </c>
      <c r="J187" s="74">
        <f>((I118*(1-'5.Closing Stock &amp; W Capital'!$D$15))+(H118*'5.Closing Stock &amp; W Capital'!$D$15))*$C$187*J124</f>
        <v>0</v>
      </c>
      <c r="K187" s="72"/>
      <c r="U187" s="171"/>
      <c r="V187" s="171"/>
      <c r="W187" s="171"/>
    </row>
    <row r="188" spans="1:23">
      <c r="A188" s="73" t="s">
        <v>183</v>
      </c>
      <c r="B188" s="73"/>
      <c r="C188" s="214">
        <v>2200</v>
      </c>
      <c r="D188" s="74">
        <f>(C119*(1-'5.Closing Stock &amp; W Capital'!$D$15))*$C$188*D124</f>
        <v>0</v>
      </c>
      <c r="E188" s="74">
        <f>((D119*(1-'5.Closing Stock &amp; W Capital'!$D$15))+(C119*'5.Closing Stock &amp; W Capital'!$D$15))*$C$188*E124</f>
        <v>0</v>
      </c>
      <c r="F188" s="74">
        <f>((E119*(1-'5.Closing Stock &amp; W Capital'!$D$15))+(D119*'5.Closing Stock &amp; W Capital'!$D$15))*$C$188*F124</f>
        <v>0</v>
      </c>
      <c r="G188" s="74">
        <f>((F119*(1-'5.Closing Stock &amp; W Capital'!$D$15))+(E119*'5.Closing Stock &amp; W Capital'!$D$15))*$C$188*G124</f>
        <v>0</v>
      </c>
      <c r="H188" s="74">
        <f>((G119*(1-'5.Closing Stock &amp; W Capital'!$D$15))+(F119*'5.Closing Stock &amp; W Capital'!$D$15))*$C$188*H124</f>
        <v>0</v>
      </c>
      <c r="I188" s="74">
        <f>((H119*(1-'5.Closing Stock &amp; W Capital'!$D$15))+(G119*'5.Closing Stock &amp; W Capital'!$D$15))*$C$188*I124</f>
        <v>0</v>
      </c>
      <c r="J188" s="74">
        <f>((I119*(1-'5.Closing Stock &amp; W Capital'!$D$15))+(H119*'5.Closing Stock &amp; W Capital'!$D$15))*$C$188*J124</f>
        <v>0</v>
      </c>
      <c r="K188" s="72"/>
      <c r="U188" s="72"/>
      <c r="V188" s="72"/>
      <c r="W188" s="72"/>
    </row>
    <row r="189" spans="1:23">
      <c r="A189" s="73"/>
      <c r="B189" s="73"/>
      <c r="C189" s="74"/>
      <c r="D189" s="74"/>
      <c r="E189" s="74"/>
      <c r="F189" s="74"/>
      <c r="G189" s="74"/>
      <c r="H189" s="74"/>
      <c r="I189" s="74"/>
      <c r="J189" s="74"/>
      <c r="K189" s="72"/>
      <c r="U189" s="72"/>
      <c r="V189" s="72"/>
      <c r="W189" s="72"/>
    </row>
    <row r="190" spans="1:23">
      <c r="A190" s="73"/>
      <c r="B190" s="73"/>
      <c r="C190" s="74"/>
      <c r="D190" s="74"/>
      <c r="E190" s="74"/>
      <c r="F190" s="74"/>
      <c r="G190" s="74"/>
      <c r="H190" s="74"/>
      <c r="I190" s="74"/>
      <c r="J190" s="74"/>
      <c r="K190" s="72"/>
      <c r="U190" s="72"/>
      <c r="V190" s="72"/>
      <c r="W190" s="72"/>
    </row>
    <row r="191" spans="1:23">
      <c r="A191" s="75" t="s">
        <v>143</v>
      </c>
      <c r="B191" s="75"/>
      <c r="C191" s="91"/>
      <c r="D191" s="91">
        <f>SUM(D130:D190)</f>
        <v>0</v>
      </c>
      <c r="E191" s="91">
        <f t="shared" ref="E191:J191" si="54">SUM(E130:E190)</f>
        <v>0</v>
      </c>
      <c r="F191" s="91">
        <f t="shared" si="54"/>
        <v>0</v>
      </c>
      <c r="G191" s="91">
        <f t="shared" si="54"/>
        <v>0</v>
      </c>
      <c r="H191" s="91">
        <f t="shared" si="54"/>
        <v>0</v>
      </c>
      <c r="I191" s="91">
        <f t="shared" si="54"/>
        <v>0</v>
      </c>
      <c r="J191" s="91">
        <f t="shared" si="54"/>
        <v>0</v>
      </c>
      <c r="K191" s="72"/>
      <c r="U191" s="72"/>
      <c r="V191" s="72"/>
      <c r="W191" s="72"/>
    </row>
    <row r="192" spans="1:23">
      <c r="A192" s="73"/>
      <c r="B192" s="73"/>
      <c r="C192" s="74"/>
      <c r="D192" s="74"/>
      <c r="E192" s="74"/>
      <c r="F192" s="74"/>
      <c r="G192" s="74"/>
      <c r="H192" s="74"/>
      <c r="I192" s="74"/>
      <c r="J192" s="74"/>
      <c r="K192" s="72"/>
      <c r="U192" s="72"/>
      <c r="V192" s="72"/>
      <c r="W192" s="72"/>
    </row>
    <row r="193" spans="1:23">
      <c r="A193" s="73"/>
      <c r="B193" s="73"/>
      <c r="C193" s="74"/>
      <c r="D193" s="74"/>
      <c r="E193" s="74"/>
      <c r="F193" s="74"/>
      <c r="G193" s="74"/>
      <c r="H193" s="74"/>
      <c r="I193" s="74"/>
      <c r="J193" s="74"/>
      <c r="K193" s="72"/>
      <c r="U193" s="72"/>
      <c r="V193" s="72"/>
      <c r="W193" s="72"/>
    </row>
    <row r="194" spans="1:23">
      <c r="A194" s="75" t="s">
        <v>142</v>
      </c>
      <c r="B194" s="75"/>
      <c r="C194" s="74"/>
      <c r="D194" s="74"/>
      <c r="E194" s="74"/>
      <c r="F194" s="74"/>
      <c r="G194" s="74"/>
      <c r="H194" s="74"/>
      <c r="I194" s="74"/>
      <c r="J194" s="74"/>
      <c r="K194" s="72"/>
      <c r="U194" s="72"/>
      <c r="V194" s="72"/>
      <c r="W194" s="72"/>
    </row>
    <row r="195" spans="1:23">
      <c r="A195" s="75" t="str">
        <f>A128</f>
        <v>Seeds (Rate/KG)</v>
      </c>
      <c r="B195" s="75"/>
      <c r="C195" s="74"/>
      <c r="D195" s="74"/>
      <c r="E195" s="74"/>
      <c r="F195" s="74"/>
      <c r="G195" s="74"/>
      <c r="H195" s="74"/>
      <c r="I195" s="74"/>
      <c r="J195" s="74"/>
      <c r="K195" s="72"/>
      <c r="U195" s="72"/>
      <c r="V195" s="72"/>
      <c r="W195" s="72"/>
    </row>
    <row r="196" spans="1:23">
      <c r="A196" s="75" t="s">
        <v>305</v>
      </c>
      <c r="B196" s="73"/>
      <c r="C196" s="73"/>
      <c r="D196" s="73"/>
      <c r="E196" s="73"/>
      <c r="F196" s="73"/>
      <c r="G196" s="73"/>
      <c r="H196" s="73"/>
      <c r="I196" s="73"/>
      <c r="J196" s="73"/>
      <c r="K196" s="72"/>
      <c r="U196" s="72"/>
      <c r="V196" s="72"/>
      <c r="W196" s="72"/>
    </row>
    <row r="197" spans="1:23">
      <c r="A197" s="75" t="s">
        <v>684</v>
      </c>
      <c r="B197" s="73"/>
      <c r="C197" s="73"/>
      <c r="D197" s="73"/>
      <c r="E197" s="73"/>
      <c r="F197" s="73"/>
      <c r="G197" s="73"/>
      <c r="H197" s="73"/>
      <c r="I197" s="73"/>
      <c r="J197" s="73"/>
      <c r="K197" s="72"/>
      <c r="U197" s="72"/>
      <c r="V197" s="72"/>
      <c r="W197" s="72"/>
    </row>
    <row r="198" spans="1:23">
      <c r="A198" s="319" t="str">
        <f t="shared" ref="A198:A239" si="55">A130</f>
        <v>Soybean</v>
      </c>
      <c r="B198" s="72"/>
      <c r="C198" s="320">
        <v>85</v>
      </c>
      <c r="D198" s="321">
        <f t="shared" ref="D198:J207" si="56">C62*$C198*D$124</f>
        <v>0</v>
      </c>
      <c r="E198" s="321">
        <f t="shared" si="56"/>
        <v>0</v>
      </c>
      <c r="F198" s="321">
        <f t="shared" si="56"/>
        <v>0</v>
      </c>
      <c r="G198" s="321">
        <f t="shared" si="56"/>
        <v>0</v>
      </c>
      <c r="H198" s="321">
        <f t="shared" si="56"/>
        <v>0</v>
      </c>
      <c r="I198" s="321">
        <f t="shared" si="56"/>
        <v>0</v>
      </c>
      <c r="J198" s="321">
        <f t="shared" si="56"/>
        <v>0</v>
      </c>
      <c r="K198" s="72"/>
      <c r="U198" s="72"/>
      <c r="V198" s="72"/>
      <c r="W198" s="72"/>
    </row>
    <row r="199" spans="1:23">
      <c r="A199" s="73" t="str">
        <f t="shared" si="55"/>
        <v>Red Gram/Tur</v>
      </c>
      <c r="B199" s="73"/>
      <c r="C199" s="214">
        <v>75</v>
      </c>
      <c r="D199" s="74">
        <f t="shared" si="56"/>
        <v>0</v>
      </c>
      <c r="E199" s="74">
        <f t="shared" si="56"/>
        <v>0</v>
      </c>
      <c r="F199" s="74">
        <f t="shared" si="56"/>
        <v>0</v>
      </c>
      <c r="G199" s="74">
        <f t="shared" si="56"/>
        <v>0</v>
      </c>
      <c r="H199" s="74">
        <f t="shared" si="56"/>
        <v>0</v>
      </c>
      <c r="I199" s="74">
        <f t="shared" si="56"/>
        <v>0</v>
      </c>
      <c r="J199" s="74">
        <f t="shared" si="56"/>
        <v>0</v>
      </c>
      <c r="K199" s="72"/>
      <c r="U199" s="72"/>
      <c r="V199" s="72"/>
      <c r="W199" s="72"/>
    </row>
    <row r="200" spans="1:23">
      <c r="A200" s="73" t="str">
        <f t="shared" si="55"/>
        <v>Paddy/Rice</v>
      </c>
      <c r="B200" s="73"/>
      <c r="C200" s="214">
        <v>57</v>
      </c>
      <c r="D200" s="74">
        <f t="shared" si="56"/>
        <v>0</v>
      </c>
      <c r="E200" s="74">
        <f t="shared" si="56"/>
        <v>0</v>
      </c>
      <c r="F200" s="74">
        <f t="shared" si="56"/>
        <v>0</v>
      </c>
      <c r="G200" s="74">
        <f t="shared" si="56"/>
        <v>0</v>
      </c>
      <c r="H200" s="74">
        <f t="shared" si="56"/>
        <v>0</v>
      </c>
      <c r="I200" s="74">
        <f t="shared" si="56"/>
        <v>0</v>
      </c>
      <c r="J200" s="74">
        <f t="shared" si="56"/>
        <v>0</v>
      </c>
      <c r="K200" s="72"/>
      <c r="U200" s="72"/>
      <c r="V200" s="72"/>
      <c r="W200" s="72"/>
    </row>
    <row r="201" spans="1:23">
      <c r="A201" s="73" t="str">
        <f t="shared" si="55"/>
        <v>Green Gram/ Moong</v>
      </c>
      <c r="B201" s="73"/>
      <c r="C201" s="214">
        <v>80</v>
      </c>
      <c r="D201" s="74">
        <f t="shared" si="56"/>
        <v>0</v>
      </c>
      <c r="E201" s="74">
        <f t="shared" si="56"/>
        <v>0</v>
      </c>
      <c r="F201" s="74">
        <f t="shared" si="56"/>
        <v>0</v>
      </c>
      <c r="G201" s="74">
        <f t="shared" si="56"/>
        <v>0</v>
      </c>
      <c r="H201" s="74">
        <f t="shared" si="56"/>
        <v>0</v>
      </c>
      <c r="I201" s="74">
        <f t="shared" si="56"/>
        <v>0</v>
      </c>
      <c r="J201" s="74">
        <f t="shared" si="56"/>
        <v>0</v>
      </c>
      <c r="K201" s="72"/>
      <c r="L201" s="72"/>
      <c r="M201" s="72"/>
      <c r="N201" s="72"/>
      <c r="O201" s="72"/>
      <c r="P201" s="72"/>
      <c r="Q201" s="72"/>
      <c r="R201" s="72"/>
      <c r="S201" s="72"/>
      <c r="T201" s="72"/>
      <c r="U201" s="72"/>
      <c r="V201" s="72"/>
      <c r="W201" s="72"/>
    </row>
    <row r="202" spans="1:23">
      <c r="A202" s="73" t="str">
        <f t="shared" si="55"/>
        <v>Maize</v>
      </c>
      <c r="B202" s="73"/>
      <c r="C202" s="214">
        <v>25</v>
      </c>
      <c r="D202" s="74">
        <f t="shared" si="56"/>
        <v>0</v>
      </c>
      <c r="E202" s="74">
        <f t="shared" si="56"/>
        <v>0</v>
      </c>
      <c r="F202" s="74">
        <f t="shared" si="56"/>
        <v>0</v>
      </c>
      <c r="G202" s="74">
        <f t="shared" si="56"/>
        <v>0</v>
      </c>
      <c r="H202" s="74">
        <f t="shared" si="56"/>
        <v>0</v>
      </c>
      <c r="I202" s="74">
        <f t="shared" si="56"/>
        <v>0</v>
      </c>
      <c r="J202" s="74">
        <f t="shared" si="56"/>
        <v>0</v>
      </c>
      <c r="K202" s="72"/>
      <c r="L202" s="72"/>
      <c r="M202" s="72"/>
      <c r="N202" s="72"/>
      <c r="O202" s="72"/>
      <c r="P202" s="72"/>
      <c r="Q202" s="72"/>
      <c r="R202" s="72"/>
      <c r="S202" s="72"/>
      <c r="T202" s="72"/>
      <c r="U202" s="72"/>
      <c r="V202" s="72"/>
      <c r="W202" s="72"/>
    </row>
    <row r="203" spans="1:23">
      <c r="A203" s="73" t="str">
        <f t="shared" si="55"/>
        <v>Black Gram/Udid</v>
      </c>
      <c r="B203" s="73"/>
      <c r="C203" s="214">
        <v>70</v>
      </c>
      <c r="D203" s="74">
        <f t="shared" si="56"/>
        <v>0</v>
      </c>
      <c r="E203" s="74">
        <f t="shared" si="56"/>
        <v>0</v>
      </c>
      <c r="F203" s="74">
        <f t="shared" si="56"/>
        <v>0</v>
      </c>
      <c r="G203" s="74">
        <f t="shared" si="56"/>
        <v>0</v>
      </c>
      <c r="H203" s="74">
        <f t="shared" si="56"/>
        <v>0</v>
      </c>
      <c r="I203" s="74">
        <f t="shared" si="56"/>
        <v>0</v>
      </c>
      <c r="J203" s="74">
        <f t="shared" si="56"/>
        <v>0</v>
      </c>
      <c r="K203" s="72"/>
      <c r="L203" s="72"/>
      <c r="M203" s="72"/>
      <c r="N203" s="72"/>
      <c r="O203" s="72"/>
      <c r="P203" s="72"/>
      <c r="Q203" s="72"/>
      <c r="R203" s="72"/>
      <c r="S203" s="72"/>
      <c r="T203" s="72"/>
      <c r="U203" s="72"/>
      <c r="V203" s="72"/>
      <c r="W203" s="72"/>
    </row>
    <row r="204" spans="1:23">
      <c r="A204" s="73" t="str">
        <f t="shared" si="55"/>
        <v>Bajra</v>
      </c>
      <c r="B204" s="73"/>
      <c r="C204" s="214">
        <v>25</v>
      </c>
      <c r="D204" s="74">
        <f t="shared" si="56"/>
        <v>0</v>
      </c>
      <c r="E204" s="74">
        <f t="shared" si="56"/>
        <v>0</v>
      </c>
      <c r="F204" s="74">
        <f t="shared" si="56"/>
        <v>0</v>
      </c>
      <c r="G204" s="74">
        <f t="shared" si="56"/>
        <v>0</v>
      </c>
      <c r="H204" s="74">
        <f t="shared" si="56"/>
        <v>0</v>
      </c>
      <c r="I204" s="74">
        <f t="shared" si="56"/>
        <v>0</v>
      </c>
      <c r="J204" s="74">
        <f t="shared" si="56"/>
        <v>0</v>
      </c>
      <c r="K204" s="72"/>
      <c r="L204" s="72"/>
      <c r="M204" s="72"/>
      <c r="N204" s="72"/>
      <c r="O204" s="72"/>
      <c r="P204" s="72"/>
      <c r="Q204" s="72"/>
      <c r="R204" s="72"/>
      <c r="S204" s="72"/>
      <c r="T204" s="72"/>
      <c r="U204" s="72"/>
      <c r="V204" s="72"/>
      <c r="W204" s="72"/>
    </row>
    <row r="205" spans="1:23">
      <c r="A205" s="73" t="str">
        <f t="shared" si="55"/>
        <v>Jawar</v>
      </c>
      <c r="B205" s="73"/>
      <c r="C205" s="214">
        <v>25</v>
      </c>
      <c r="D205" s="74">
        <f t="shared" si="56"/>
        <v>0</v>
      </c>
      <c r="E205" s="74">
        <f t="shared" si="56"/>
        <v>0</v>
      </c>
      <c r="F205" s="74">
        <f t="shared" si="56"/>
        <v>0</v>
      </c>
      <c r="G205" s="74">
        <f t="shared" si="56"/>
        <v>0</v>
      </c>
      <c r="H205" s="74">
        <f t="shared" si="56"/>
        <v>0</v>
      </c>
      <c r="I205" s="74">
        <f t="shared" si="56"/>
        <v>0</v>
      </c>
      <c r="J205" s="74">
        <f t="shared" si="56"/>
        <v>0</v>
      </c>
      <c r="K205" s="72"/>
      <c r="L205" s="72"/>
      <c r="M205" s="72"/>
      <c r="N205" s="72"/>
      <c r="O205" s="72"/>
      <c r="P205" s="72"/>
      <c r="Q205" s="72"/>
      <c r="R205" s="72"/>
      <c r="S205" s="72"/>
      <c r="T205" s="72"/>
      <c r="U205" s="72"/>
      <c r="V205" s="72"/>
      <c r="W205" s="72"/>
    </row>
    <row r="206" spans="1:23">
      <c r="A206" s="75" t="str">
        <f t="shared" si="55"/>
        <v>Rabi Crop</v>
      </c>
      <c r="B206" s="73"/>
      <c r="C206" s="214"/>
      <c r="D206" s="74">
        <f t="shared" si="56"/>
        <v>0</v>
      </c>
      <c r="E206" s="74">
        <f t="shared" si="56"/>
        <v>0</v>
      </c>
      <c r="F206" s="74">
        <f t="shared" si="56"/>
        <v>0</v>
      </c>
      <c r="G206" s="74">
        <f t="shared" si="56"/>
        <v>0</v>
      </c>
      <c r="H206" s="74">
        <f t="shared" si="56"/>
        <v>0</v>
      </c>
      <c r="I206" s="74">
        <f t="shared" si="56"/>
        <v>0</v>
      </c>
      <c r="J206" s="74">
        <f t="shared" si="56"/>
        <v>0</v>
      </c>
      <c r="K206" s="72"/>
      <c r="L206" s="72"/>
      <c r="M206" s="72"/>
      <c r="N206" s="72"/>
      <c r="O206" s="72"/>
      <c r="P206" s="72"/>
      <c r="Q206" s="72"/>
      <c r="R206" s="72"/>
      <c r="S206" s="72"/>
      <c r="T206" s="72"/>
      <c r="U206" s="72"/>
      <c r="V206" s="72"/>
      <c r="W206" s="72"/>
    </row>
    <row r="207" spans="1:23">
      <c r="A207" s="73" t="str">
        <f t="shared" si="55"/>
        <v>Wheat</v>
      </c>
      <c r="B207" s="73"/>
      <c r="C207" s="214">
        <v>35</v>
      </c>
      <c r="D207" s="74">
        <f t="shared" si="56"/>
        <v>0</v>
      </c>
      <c r="E207" s="74">
        <f t="shared" si="56"/>
        <v>0</v>
      </c>
      <c r="F207" s="74">
        <f t="shared" si="56"/>
        <v>0</v>
      </c>
      <c r="G207" s="74">
        <f t="shared" si="56"/>
        <v>0</v>
      </c>
      <c r="H207" s="74">
        <f t="shared" si="56"/>
        <v>0</v>
      </c>
      <c r="I207" s="74">
        <f t="shared" si="56"/>
        <v>0</v>
      </c>
      <c r="J207" s="74">
        <f t="shared" si="56"/>
        <v>0</v>
      </c>
      <c r="K207" s="72"/>
      <c r="L207" s="72"/>
      <c r="M207" s="72"/>
      <c r="N207" s="72"/>
      <c r="O207" s="72"/>
      <c r="P207" s="72"/>
      <c r="Q207" s="72"/>
      <c r="R207" s="72"/>
      <c r="S207" s="72"/>
      <c r="T207" s="72"/>
      <c r="U207" s="72"/>
      <c r="V207" s="72"/>
      <c r="W207" s="72"/>
    </row>
    <row r="208" spans="1:23">
      <c r="A208" s="73" t="str">
        <f t="shared" si="55"/>
        <v>Bengal Gram/Channa</v>
      </c>
      <c r="B208" s="73"/>
      <c r="C208" s="214">
        <v>70</v>
      </c>
      <c r="D208" s="74">
        <f t="shared" ref="D208:J217" si="57">C72*$C208*D$124</f>
        <v>0</v>
      </c>
      <c r="E208" s="74">
        <f t="shared" si="57"/>
        <v>0</v>
      </c>
      <c r="F208" s="74">
        <f t="shared" si="57"/>
        <v>0</v>
      </c>
      <c r="G208" s="74">
        <f t="shared" si="57"/>
        <v>0</v>
      </c>
      <c r="H208" s="74">
        <f t="shared" si="57"/>
        <v>0</v>
      </c>
      <c r="I208" s="74">
        <f t="shared" si="57"/>
        <v>0</v>
      </c>
      <c r="J208" s="74">
        <f t="shared" si="57"/>
        <v>0</v>
      </c>
      <c r="K208" s="72"/>
      <c r="L208" s="72"/>
      <c r="M208" s="72"/>
      <c r="N208" s="72"/>
      <c r="O208" s="72"/>
      <c r="P208" s="72"/>
      <c r="Q208" s="72"/>
      <c r="R208" s="72"/>
      <c r="S208" s="72"/>
      <c r="T208" s="72"/>
      <c r="U208" s="72"/>
      <c r="V208" s="72"/>
      <c r="W208" s="72"/>
    </row>
    <row r="209" spans="1:23">
      <c r="A209" s="73" t="str">
        <f t="shared" si="55"/>
        <v>Jawar</v>
      </c>
      <c r="B209" s="73"/>
      <c r="C209" s="214">
        <v>25</v>
      </c>
      <c r="D209" s="74">
        <f t="shared" si="57"/>
        <v>0</v>
      </c>
      <c r="E209" s="74">
        <f t="shared" si="57"/>
        <v>0</v>
      </c>
      <c r="F209" s="74">
        <f t="shared" si="57"/>
        <v>0</v>
      </c>
      <c r="G209" s="74">
        <f t="shared" si="57"/>
        <v>0</v>
      </c>
      <c r="H209" s="74">
        <f t="shared" si="57"/>
        <v>0</v>
      </c>
      <c r="I209" s="74">
        <f t="shared" si="57"/>
        <v>0</v>
      </c>
      <c r="J209" s="74">
        <f t="shared" si="57"/>
        <v>0</v>
      </c>
      <c r="K209" s="72"/>
      <c r="L209" s="72"/>
      <c r="M209" s="72"/>
      <c r="N209" s="72"/>
      <c r="O209" s="72"/>
      <c r="P209" s="72"/>
      <c r="Q209" s="72"/>
      <c r="R209" s="72"/>
      <c r="S209" s="72"/>
      <c r="T209" s="72"/>
      <c r="U209" s="72"/>
      <c r="V209" s="72"/>
      <c r="W209" s="72"/>
    </row>
    <row r="210" spans="1:23">
      <c r="A210" s="73" t="str">
        <f t="shared" si="55"/>
        <v>Maize</v>
      </c>
      <c r="B210" s="73"/>
      <c r="C210" s="214">
        <v>25</v>
      </c>
      <c r="D210" s="74">
        <f t="shared" si="57"/>
        <v>0</v>
      </c>
      <c r="E210" s="74">
        <f t="shared" si="57"/>
        <v>0</v>
      </c>
      <c r="F210" s="74">
        <f t="shared" si="57"/>
        <v>0</v>
      </c>
      <c r="G210" s="74">
        <f t="shared" si="57"/>
        <v>0</v>
      </c>
      <c r="H210" s="74">
        <f t="shared" si="57"/>
        <v>0</v>
      </c>
      <c r="I210" s="74">
        <f t="shared" si="57"/>
        <v>0</v>
      </c>
      <c r="J210" s="74">
        <f t="shared" si="57"/>
        <v>0</v>
      </c>
      <c r="K210" s="72"/>
      <c r="L210" s="72"/>
      <c r="M210" s="72"/>
      <c r="N210" s="72"/>
      <c r="O210" s="72"/>
      <c r="P210" s="72"/>
      <c r="Q210" s="72"/>
      <c r="R210" s="72"/>
      <c r="S210" s="72"/>
      <c r="T210" s="72"/>
      <c r="U210" s="72"/>
      <c r="V210" s="72"/>
      <c r="W210" s="72"/>
    </row>
    <row r="211" spans="1:23">
      <c r="A211" s="73" t="str">
        <f t="shared" si="55"/>
        <v>Safflower</v>
      </c>
      <c r="B211" s="73"/>
      <c r="C211" s="214">
        <v>25</v>
      </c>
      <c r="D211" s="74">
        <f t="shared" si="57"/>
        <v>0</v>
      </c>
      <c r="E211" s="74">
        <f t="shared" si="57"/>
        <v>0</v>
      </c>
      <c r="F211" s="74">
        <f t="shared" si="57"/>
        <v>0</v>
      </c>
      <c r="G211" s="74">
        <f t="shared" si="57"/>
        <v>0</v>
      </c>
      <c r="H211" s="74">
        <f t="shared" si="57"/>
        <v>0</v>
      </c>
      <c r="I211" s="74">
        <f t="shared" si="57"/>
        <v>0</v>
      </c>
      <c r="J211" s="74">
        <f t="shared" si="57"/>
        <v>0</v>
      </c>
      <c r="K211" s="72"/>
      <c r="L211" s="72"/>
      <c r="M211" s="72"/>
      <c r="N211" s="72"/>
      <c r="O211" s="72"/>
      <c r="P211" s="72"/>
      <c r="Q211" s="72"/>
      <c r="R211" s="72"/>
      <c r="S211" s="72"/>
      <c r="T211" s="72"/>
      <c r="U211" s="72"/>
      <c r="V211" s="72"/>
      <c r="W211" s="72"/>
    </row>
    <row r="212" spans="1:23">
      <c r="A212" s="73">
        <f t="shared" si="55"/>
        <v>0</v>
      </c>
      <c r="B212" s="73"/>
      <c r="C212" s="214"/>
      <c r="D212" s="74">
        <f t="shared" si="57"/>
        <v>0</v>
      </c>
      <c r="E212" s="74">
        <f t="shared" si="57"/>
        <v>0</v>
      </c>
      <c r="F212" s="74">
        <f t="shared" si="57"/>
        <v>0</v>
      </c>
      <c r="G212" s="74">
        <f t="shared" si="57"/>
        <v>0</v>
      </c>
      <c r="H212" s="74">
        <f t="shared" si="57"/>
        <v>0</v>
      </c>
      <c r="I212" s="74">
        <f t="shared" si="57"/>
        <v>0</v>
      </c>
      <c r="J212" s="74">
        <f t="shared" si="57"/>
        <v>0</v>
      </c>
      <c r="K212" s="72"/>
      <c r="L212" s="72"/>
      <c r="M212" s="72"/>
      <c r="N212" s="72"/>
      <c r="O212" s="72"/>
      <c r="P212" s="72"/>
      <c r="Q212" s="72"/>
      <c r="R212" s="72"/>
      <c r="S212" s="72"/>
      <c r="T212" s="72"/>
      <c r="U212" s="72"/>
      <c r="V212" s="72"/>
      <c r="W212" s="72"/>
    </row>
    <row r="213" spans="1:23">
      <c r="A213" s="73">
        <f t="shared" si="55"/>
        <v>0</v>
      </c>
      <c r="B213" s="73"/>
      <c r="C213" s="214"/>
      <c r="D213" s="74">
        <f t="shared" si="57"/>
        <v>0</v>
      </c>
      <c r="E213" s="74">
        <f t="shared" si="57"/>
        <v>0</v>
      </c>
      <c r="F213" s="74">
        <f t="shared" si="57"/>
        <v>0</v>
      </c>
      <c r="G213" s="74">
        <f t="shared" si="57"/>
        <v>0</v>
      </c>
      <c r="H213" s="74">
        <f t="shared" si="57"/>
        <v>0</v>
      </c>
      <c r="I213" s="74">
        <f t="shared" si="57"/>
        <v>0</v>
      </c>
      <c r="J213" s="74">
        <f t="shared" si="57"/>
        <v>0</v>
      </c>
      <c r="K213" s="72"/>
      <c r="L213" s="72"/>
      <c r="M213" s="72"/>
      <c r="N213" s="72"/>
      <c r="O213" s="72"/>
      <c r="P213" s="72"/>
      <c r="Q213" s="72"/>
      <c r="R213" s="72"/>
      <c r="S213" s="72"/>
      <c r="T213" s="72"/>
      <c r="U213" s="72"/>
      <c r="V213" s="72"/>
      <c r="W213" s="72"/>
    </row>
    <row r="214" spans="1:23">
      <c r="A214" s="73">
        <f t="shared" si="55"/>
        <v>0</v>
      </c>
      <c r="B214" s="73"/>
      <c r="C214" s="214"/>
      <c r="D214" s="74">
        <f t="shared" si="57"/>
        <v>0</v>
      </c>
      <c r="E214" s="74">
        <f t="shared" si="57"/>
        <v>0</v>
      </c>
      <c r="F214" s="74">
        <f t="shared" si="57"/>
        <v>0</v>
      </c>
      <c r="G214" s="74">
        <f t="shared" si="57"/>
        <v>0</v>
      </c>
      <c r="H214" s="74">
        <f t="shared" si="57"/>
        <v>0</v>
      </c>
      <c r="I214" s="74">
        <f t="shared" si="57"/>
        <v>0</v>
      </c>
      <c r="J214" s="74">
        <f t="shared" si="57"/>
        <v>0</v>
      </c>
      <c r="K214" s="72"/>
      <c r="L214" s="72"/>
      <c r="M214" s="72"/>
      <c r="N214" s="72"/>
      <c r="O214" s="72"/>
      <c r="P214" s="72"/>
      <c r="Q214" s="72"/>
      <c r="R214" s="72"/>
      <c r="S214" s="72"/>
      <c r="T214" s="72"/>
      <c r="U214" s="72"/>
      <c r="V214" s="72"/>
      <c r="W214" s="72"/>
    </row>
    <row r="215" spans="1:23">
      <c r="A215" s="73" t="str">
        <f t="shared" si="55"/>
        <v>Summer</v>
      </c>
      <c r="B215" s="73"/>
      <c r="C215" s="214"/>
      <c r="D215" s="74">
        <f t="shared" si="57"/>
        <v>0</v>
      </c>
      <c r="E215" s="74">
        <f t="shared" si="57"/>
        <v>0</v>
      </c>
      <c r="F215" s="74">
        <f t="shared" si="57"/>
        <v>0</v>
      </c>
      <c r="G215" s="74">
        <f t="shared" si="57"/>
        <v>0</v>
      </c>
      <c r="H215" s="74">
        <f t="shared" si="57"/>
        <v>0</v>
      </c>
      <c r="I215" s="74">
        <f t="shared" si="57"/>
        <v>0</v>
      </c>
      <c r="J215" s="74">
        <f t="shared" si="57"/>
        <v>0</v>
      </c>
      <c r="K215" s="72"/>
      <c r="L215" s="72"/>
      <c r="M215" s="72"/>
      <c r="N215" s="72"/>
      <c r="O215" s="72"/>
      <c r="P215" s="72"/>
      <c r="Q215" s="72"/>
      <c r="R215" s="72"/>
      <c r="S215" s="72"/>
      <c r="T215" s="72"/>
      <c r="U215" s="72"/>
      <c r="V215" s="72"/>
      <c r="W215" s="72"/>
    </row>
    <row r="216" spans="1:23">
      <c r="A216" s="73" t="str">
        <f t="shared" si="55"/>
        <v>Groundnut</v>
      </c>
      <c r="B216" s="73"/>
      <c r="C216" s="214"/>
      <c r="D216" s="74">
        <f t="shared" si="57"/>
        <v>0</v>
      </c>
      <c r="E216" s="74">
        <f t="shared" si="57"/>
        <v>0</v>
      </c>
      <c r="F216" s="74">
        <f t="shared" si="57"/>
        <v>0</v>
      </c>
      <c r="G216" s="74">
        <f t="shared" si="57"/>
        <v>0</v>
      </c>
      <c r="H216" s="74">
        <f t="shared" si="57"/>
        <v>0</v>
      </c>
      <c r="I216" s="74">
        <f t="shared" si="57"/>
        <v>0</v>
      </c>
      <c r="J216" s="74">
        <f t="shared" si="57"/>
        <v>0</v>
      </c>
      <c r="K216" s="72"/>
      <c r="L216" s="72"/>
      <c r="M216" s="72"/>
      <c r="N216" s="72"/>
      <c r="O216" s="72"/>
      <c r="P216" s="72"/>
      <c r="Q216" s="72"/>
      <c r="R216" s="72"/>
      <c r="S216" s="72"/>
      <c r="T216" s="72"/>
      <c r="U216" s="72"/>
      <c r="V216" s="72"/>
      <c r="W216" s="72"/>
    </row>
    <row r="217" spans="1:23">
      <c r="A217" s="73">
        <f t="shared" si="55"/>
        <v>0</v>
      </c>
      <c r="B217" s="73"/>
      <c r="C217" s="214"/>
      <c r="D217" s="74">
        <f t="shared" si="57"/>
        <v>0</v>
      </c>
      <c r="E217" s="74">
        <f t="shared" si="57"/>
        <v>0</v>
      </c>
      <c r="F217" s="74">
        <f t="shared" si="57"/>
        <v>0</v>
      </c>
      <c r="G217" s="74">
        <f t="shared" si="57"/>
        <v>0</v>
      </c>
      <c r="H217" s="74">
        <f t="shared" si="57"/>
        <v>0</v>
      </c>
      <c r="I217" s="74">
        <f t="shared" si="57"/>
        <v>0</v>
      </c>
      <c r="J217" s="74">
        <f t="shared" si="57"/>
        <v>0</v>
      </c>
      <c r="K217" s="72"/>
      <c r="L217" s="72"/>
      <c r="M217" s="72"/>
      <c r="N217" s="72"/>
      <c r="O217" s="72"/>
      <c r="P217" s="72"/>
      <c r="Q217" s="72"/>
      <c r="R217" s="72"/>
      <c r="S217" s="72"/>
      <c r="T217" s="72"/>
      <c r="U217" s="72"/>
      <c r="V217" s="72"/>
      <c r="W217" s="72"/>
    </row>
    <row r="218" spans="1:23">
      <c r="A218" s="73">
        <f t="shared" si="55"/>
        <v>0</v>
      </c>
      <c r="B218" s="73"/>
      <c r="C218" s="214"/>
      <c r="D218" s="74">
        <f t="shared" ref="D218:J220" si="58">C82*$C218*D$124</f>
        <v>0</v>
      </c>
      <c r="E218" s="74">
        <f t="shared" si="58"/>
        <v>0</v>
      </c>
      <c r="F218" s="74">
        <f t="shared" si="58"/>
        <v>0</v>
      </c>
      <c r="G218" s="74">
        <f t="shared" si="58"/>
        <v>0</v>
      </c>
      <c r="H218" s="74">
        <f t="shared" si="58"/>
        <v>0</v>
      </c>
      <c r="I218" s="74">
        <f t="shared" si="58"/>
        <v>0</v>
      </c>
      <c r="J218" s="74">
        <f t="shared" si="58"/>
        <v>0</v>
      </c>
      <c r="K218" s="72"/>
      <c r="L218" s="72"/>
      <c r="M218" s="72"/>
      <c r="N218" s="72"/>
      <c r="O218" s="72"/>
      <c r="P218" s="72"/>
      <c r="Q218" s="72"/>
      <c r="R218" s="72"/>
      <c r="S218" s="72"/>
      <c r="T218" s="72"/>
      <c r="U218" s="72"/>
      <c r="V218" s="72"/>
      <c r="W218" s="72"/>
    </row>
    <row r="219" spans="1:23">
      <c r="A219" s="73">
        <f t="shared" si="55"/>
        <v>0</v>
      </c>
      <c r="B219" s="73"/>
      <c r="C219" s="214"/>
      <c r="D219" s="74">
        <f t="shared" si="58"/>
        <v>0</v>
      </c>
      <c r="E219" s="74">
        <f t="shared" si="58"/>
        <v>0</v>
      </c>
      <c r="F219" s="74">
        <f t="shared" si="58"/>
        <v>0</v>
      </c>
      <c r="G219" s="74">
        <f t="shared" si="58"/>
        <v>0</v>
      </c>
      <c r="H219" s="74">
        <f t="shared" si="58"/>
        <v>0</v>
      </c>
      <c r="I219" s="74">
        <f t="shared" si="58"/>
        <v>0</v>
      </c>
      <c r="J219" s="74">
        <f t="shared" si="58"/>
        <v>0</v>
      </c>
      <c r="K219" s="72"/>
      <c r="L219" s="72"/>
      <c r="M219" s="72"/>
      <c r="N219" s="72"/>
      <c r="O219" s="72"/>
      <c r="P219" s="72"/>
      <c r="Q219" s="72"/>
      <c r="R219" s="72"/>
      <c r="S219" s="72"/>
      <c r="T219" s="72"/>
      <c r="U219" s="72"/>
      <c r="V219" s="72"/>
      <c r="W219" s="72"/>
    </row>
    <row r="220" spans="1:23">
      <c r="A220" s="73">
        <f t="shared" si="55"/>
        <v>0</v>
      </c>
      <c r="B220" s="73"/>
      <c r="C220" s="214"/>
      <c r="D220" s="74">
        <f t="shared" si="58"/>
        <v>0</v>
      </c>
      <c r="E220" s="74">
        <f t="shared" si="58"/>
        <v>0</v>
      </c>
      <c r="F220" s="74">
        <f t="shared" si="58"/>
        <v>0</v>
      </c>
      <c r="G220" s="74">
        <f t="shared" si="58"/>
        <v>0</v>
      </c>
      <c r="H220" s="74">
        <f t="shared" si="58"/>
        <v>0</v>
      </c>
      <c r="I220" s="74">
        <f t="shared" si="58"/>
        <v>0</v>
      </c>
      <c r="J220" s="74">
        <f t="shared" si="58"/>
        <v>0</v>
      </c>
      <c r="K220" s="72"/>
      <c r="L220" s="72"/>
      <c r="M220" s="72"/>
      <c r="N220" s="72"/>
      <c r="O220" s="72"/>
      <c r="P220" s="72"/>
      <c r="Q220" s="72"/>
      <c r="R220" s="72"/>
      <c r="S220" s="72"/>
      <c r="T220" s="72"/>
      <c r="U220" s="72"/>
      <c r="V220" s="72"/>
      <c r="W220" s="72"/>
    </row>
    <row r="221" spans="1:23">
      <c r="A221" s="73" t="str">
        <f t="shared" si="55"/>
        <v>Fruit  &amp; Vegetables Crop Production Details</v>
      </c>
      <c r="B221" s="73"/>
      <c r="C221" s="74"/>
      <c r="D221" s="74"/>
      <c r="E221" s="74"/>
      <c r="F221" s="74"/>
      <c r="G221" s="74"/>
      <c r="H221" s="74"/>
      <c r="I221" s="74"/>
      <c r="J221" s="74"/>
      <c r="K221" s="72"/>
      <c r="L221" s="72"/>
      <c r="M221" s="72"/>
      <c r="N221" s="72"/>
      <c r="O221" s="72"/>
      <c r="P221" s="72"/>
      <c r="Q221" s="72"/>
      <c r="R221" s="72"/>
      <c r="S221" s="72"/>
      <c r="T221" s="72"/>
      <c r="U221" s="72"/>
      <c r="V221" s="72"/>
      <c r="W221" s="72"/>
    </row>
    <row r="222" spans="1:23">
      <c r="A222" s="73" t="str">
        <f t="shared" si="55"/>
        <v>Onion</v>
      </c>
      <c r="B222" s="73"/>
      <c r="C222" s="214"/>
      <c r="D222" s="74">
        <f t="shared" ref="D222:J231" si="59">C86*$C222*D$124</f>
        <v>0</v>
      </c>
      <c r="E222" s="74">
        <f t="shared" si="59"/>
        <v>0</v>
      </c>
      <c r="F222" s="74">
        <f t="shared" si="59"/>
        <v>0</v>
      </c>
      <c r="G222" s="74">
        <f t="shared" si="59"/>
        <v>0</v>
      </c>
      <c r="H222" s="74">
        <f t="shared" si="59"/>
        <v>0</v>
      </c>
      <c r="I222" s="74">
        <f t="shared" si="59"/>
        <v>0</v>
      </c>
      <c r="J222" s="74">
        <f t="shared" si="59"/>
        <v>0</v>
      </c>
      <c r="K222" s="72"/>
      <c r="L222" s="72"/>
      <c r="M222" s="72"/>
      <c r="N222" s="72"/>
      <c r="O222" s="72"/>
      <c r="P222" s="72"/>
      <c r="Q222" s="72"/>
      <c r="R222" s="72"/>
      <c r="S222" s="72"/>
      <c r="T222" s="72"/>
      <c r="U222" s="72"/>
      <c r="V222" s="72"/>
      <c r="W222" s="72"/>
    </row>
    <row r="223" spans="1:23">
      <c r="A223" s="73" t="str">
        <f t="shared" si="55"/>
        <v>Tomato</v>
      </c>
      <c r="B223" s="73"/>
      <c r="C223" s="214"/>
      <c r="D223" s="74">
        <f t="shared" si="59"/>
        <v>0</v>
      </c>
      <c r="E223" s="74">
        <f t="shared" si="59"/>
        <v>0</v>
      </c>
      <c r="F223" s="74">
        <f t="shared" si="59"/>
        <v>0</v>
      </c>
      <c r="G223" s="74">
        <f t="shared" si="59"/>
        <v>0</v>
      </c>
      <c r="H223" s="74">
        <f t="shared" si="59"/>
        <v>0</v>
      </c>
      <c r="I223" s="74">
        <f t="shared" si="59"/>
        <v>0</v>
      </c>
      <c r="J223" s="74">
        <f t="shared" si="59"/>
        <v>0</v>
      </c>
      <c r="K223" s="72"/>
      <c r="L223" s="72"/>
      <c r="M223" s="72"/>
      <c r="N223" s="72"/>
      <c r="O223" s="72"/>
      <c r="P223" s="72"/>
      <c r="Q223" s="72"/>
      <c r="R223" s="72"/>
      <c r="S223" s="72"/>
      <c r="T223" s="72"/>
      <c r="U223" s="72"/>
      <c r="V223" s="72"/>
      <c r="W223" s="72"/>
    </row>
    <row r="224" spans="1:23">
      <c r="A224" s="73" t="str">
        <f t="shared" si="55"/>
        <v>Okra</v>
      </c>
      <c r="B224" s="73"/>
      <c r="C224" s="214"/>
      <c r="D224" s="74">
        <f t="shared" si="59"/>
        <v>0</v>
      </c>
      <c r="E224" s="74">
        <f t="shared" si="59"/>
        <v>0</v>
      </c>
      <c r="F224" s="74">
        <f t="shared" si="59"/>
        <v>0</v>
      </c>
      <c r="G224" s="74">
        <f t="shared" si="59"/>
        <v>0</v>
      </c>
      <c r="H224" s="74">
        <f t="shared" si="59"/>
        <v>0</v>
      </c>
      <c r="I224" s="74">
        <f t="shared" si="59"/>
        <v>0</v>
      </c>
      <c r="J224" s="74">
        <f t="shared" si="59"/>
        <v>0</v>
      </c>
      <c r="K224" s="72"/>
      <c r="L224" s="72"/>
      <c r="M224" s="72"/>
      <c r="N224" s="72"/>
      <c r="O224" s="72"/>
      <c r="P224" s="72"/>
      <c r="Q224" s="72"/>
      <c r="R224" s="72"/>
      <c r="S224" s="72"/>
      <c r="T224" s="72"/>
      <c r="U224" s="72"/>
      <c r="V224" s="72"/>
      <c r="W224" s="72"/>
    </row>
    <row r="225" spans="1:23">
      <c r="A225" s="73" t="str">
        <f t="shared" si="55"/>
        <v>Chilli</v>
      </c>
      <c r="B225" s="73"/>
      <c r="C225" s="214"/>
      <c r="D225" s="74">
        <f t="shared" si="59"/>
        <v>0</v>
      </c>
      <c r="E225" s="74">
        <f t="shared" si="59"/>
        <v>0</v>
      </c>
      <c r="F225" s="74">
        <f t="shared" si="59"/>
        <v>0</v>
      </c>
      <c r="G225" s="74">
        <f t="shared" si="59"/>
        <v>0</v>
      </c>
      <c r="H225" s="74">
        <f t="shared" si="59"/>
        <v>0</v>
      </c>
      <c r="I225" s="74">
        <f t="shared" si="59"/>
        <v>0</v>
      </c>
      <c r="J225" s="74">
        <f t="shared" si="59"/>
        <v>0</v>
      </c>
      <c r="K225" s="72"/>
      <c r="L225" s="72"/>
      <c r="M225" s="72"/>
      <c r="N225" s="72"/>
      <c r="O225" s="72"/>
      <c r="P225" s="72"/>
      <c r="Q225" s="72"/>
      <c r="R225" s="72"/>
      <c r="S225" s="72"/>
      <c r="T225" s="72"/>
      <c r="U225" s="72"/>
      <c r="V225" s="72"/>
      <c r="W225" s="72"/>
    </row>
    <row r="226" spans="1:23">
      <c r="A226" s="73" t="str">
        <f t="shared" si="55"/>
        <v>Potato</v>
      </c>
      <c r="B226" s="73"/>
      <c r="C226" s="214"/>
      <c r="D226" s="74">
        <f t="shared" si="59"/>
        <v>0</v>
      </c>
      <c r="E226" s="74">
        <f t="shared" si="59"/>
        <v>0</v>
      </c>
      <c r="F226" s="74">
        <f t="shared" si="59"/>
        <v>0</v>
      </c>
      <c r="G226" s="74">
        <f t="shared" si="59"/>
        <v>0</v>
      </c>
      <c r="H226" s="74">
        <f t="shared" si="59"/>
        <v>0</v>
      </c>
      <c r="I226" s="74">
        <f t="shared" si="59"/>
        <v>0</v>
      </c>
      <c r="J226" s="74">
        <f t="shared" si="59"/>
        <v>0</v>
      </c>
      <c r="K226" s="72"/>
      <c r="L226" s="72"/>
      <c r="M226" s="72"/>
      <c r="N226" s="72"/>
      <c r="O226" s="72"/>
      <c r="P226" s="72"/>
      <c r="Q226" s="72"/>
      <c r="R226" s="72"/>
      <c r="S226" s="72"/>
      <c r="T226" s="72"/>
      <c r="U226" s="72"/>
      <c r="V226" s="72"/>
      <c r="W226" s="72"/>
    </row>
    <row r="227" spans="1:23">
      <c r="A227" s="73">
        <f t="shared" si="55"/>
        <v>0</v>
      </c>
      <c r="B227" s="73"/>
      <c r="C227" s="214"/>
      <c r="D227" s="74">
        <f t="shared" si="59"/>
        <v>0</v>
      </c>
      <c r="E227" s="74">
        <f t="shared" si="59"/>
        <v>0</v>
      </c>
      <c r="F227" s="74">
        <f t="shared" si="59"/>
        <v>0</v>
      </c>
      <c r="G227" s="74">
        <f t="shared" si="59"/>
        <v>0</v>
      </c>
      <c r="H227" s="74">
        <f t="shared" si="59"/>
        <v>0</v>
      </c>
      <c r="I227" s="74">
        <f t="shared" si="59"/>
        <v>0</v>
      </c>
      <c r="J227" s="74">
        <f t="shared" si="59"/>
        <v>0</v>
      </c>
      <c r="K227" s="72"/>
      <c r="L227" s="72"/>
      <c r="M227" s="72"/>
      <c r="N227" s="72"/>
      <c r="O227" s="72"/>
      <c r="P227" s="72"/>
      <c r="Q227" s="72"/>
      <c r="R227" s="72"/>
      <c r="S227" s="72"/>
      <c r="T227" s="72"/>
      <c r="U227" s="72"/>
      <c r="V227" s="72"/>
      <c r="W227" s="72"/>
    </row>
    <row r="228" spans="1:23">
      <c r="A228" s="73">
        <f t="shared" si="55"/>
        <v>0</v>
      </c>
      <c r="B228" s="73"/>
      <c r="C228" s="214"/>
      <c r="D228" s="74">
        <f t="shared" si="59"/>
        <v>0</v>
      </c>
      <c r="E228" s="74">
        <f t="shared" si="59"/>
        <v>0</v>
      </c>
      <c r="F228" s="74">
        <f t="shared" si="59"/>
        <v>0</v>
      </c>
      <c r="G228" s="74">
        <f t="shared" si="59"/>
        <v>0</v>
      </c>
      <c r="H228" s="74">
        <f t="shared" si="59"/>
        <v>0</v>
      </c>
      <c r="I228" s="74">
        <f t="shared" si="59"/>
        <v>0</v>
      </c>
      <c r="J228" s="74">
        <f t="shared" si="59"/>
        <v>0</v>
      </c>
      <c r="K228" s="72"/>
      <c r="L228" s="72"/>
      <c r="M228" s="72"/>
      <c r="N228" s="72"/>
      <c r="O228" s="72"/>
      <c r="P228" s="72"/>
      <c r="Q228" s="72"/>
      <c r="R228" s="72"/>
      <c r="S228" s="72"/>
      <c r="T228" s="72"/>
      <c r="U228" s="72"/>
      <c r="V228" s="72"/>
      <c r="W228" s="72"/>
    </row>
    <row r="229" spans="1:23">
      <c r="A229" s="73">
        <f t="shared" si="55"/>
        <v>0</v>
      </c>
      <c r="B229" s="73"/>
      <c r="C229" s="214"/>
      <c r="D229" s="74">
        <f t="shared" si="59"/>
        <v>0</v>
      </c>
      <c r="E229" s="74">
        <f t="shared" si="59"/>
        <v>0</v>
      </c>
      <c r="F229" s="74">
        <f t="shared" si="59"/>
        <v>0</v>
      </c>
      <c r="G229" s="74">
        <f t="shared" si="59"/>
        <v>0</v>
      </c>
      <c r="H229" s="74">
        <f t="shared" si="59"/>
        <v>0</v>
      </c>
      <c r="I229" s="74">
        <f t="shared" si="59"/>
        <v>0</v>
      </c>
      <c r="J229" s="74">
        <f t="shared" si="59"/>
        <v>0</v>
      </c>
      <c r="K229" s="72"/>
      <c r="L229" s="72"/>
      <c r="M229" s="72"/>
      <c r="N229" s="72"/>
      <c r="O229" s="72"/>
      <c r="P229" s="72"/>
      <c r="Q229" s="72"/>
      <c r="R229" s="72"/>
      <c r="S229" s="72"/>
      <c r="T229" s="72"/>
      <c r="U229" s="72"/>
      <c r="V229" s="72"/>
      <c r="W229" s="72"/>
    </row>
    <row r="230" spans="1:23">
      <c r="A230" s="73">
        <f t="shared" si="55"/>
        <v>0</v>
      </c>
      <c r="B230" s="73"/>
      <c r="C230" s="214"/>
      <c r="D230" s="74">
        <f t="shared" si="59"/>
        <v>0</v>
      </c>
      <c r="E230" s="74">
        <f t="shared" si="59"/>
        <v>0</v>
      </c>
      <c r="F230" s="74">
        <f t="shared" si="59"/>
        <v>0</v>
      </c>
      <c r="G230" s="74">
        <f t="shared" si="59"/>
        <v>0</v>
      </c>
      <c r="H230" s="74">
        <f t="shared" si="59"/>
        <v>0</v>
      </c>
      <c r="I230" s="74">
        <f t="shared" si="59"/>
        <v>0</v>
      </c>
      <c r="J230" s="74">
        <f t="shared" si="59"/>
        <v>0</v>
      </c>
      <c r="K230" s="72"/>
      <c r="L230" s="72"/>
      <c r="M230" s="72"/>
      <c r="N230" s="72"/>
      <c r="O230" s="72"/>
      <c r="P230" s="72"/>
      <c r="Q230" s="72"/>
      <c r="R230" s="72"/>
      <c r="S230" s="72"/>
      <c r="T230" s="72"/>
      <c r="U230" s="72"/>
      <c r="V230" s="72"/>
      <c r="W230" s="72"/>
    </row>
    <row r="231" spans="1:23">
      <c r="A231" s="73" t="str">
        <f t="shared" si="55"/>
        <v>Onion</v>
      </c>
      <c r="B231" s="73"/>
      <c r="C231" s="214"/>
      <c r="D231" s="74">
        <f t="shared" si="59"/>
        <v>0</v>
      </c>
      <c r="E231" s="74">
        <f t="shared" si="59"/>
        <v>0</v>
      </c>
      <c r="F231" s="74">
        <f t="shared" si="59"/>
        <v>0</v>
      </c>
      <c r="G231" s="74">
        <f t="shared" si="59"/>
        <v>0</v>
      </c>
      <c r="H231" s="74">
        <f t="shared" si="59"/>
        <v>0</v>
      </c>
      <c r="I231" s="74">
        <f t="shared" si="59"/>
        <v>0</v>
      </c>
      <c r="J231" s="74">
        <f t="shared" si="59"/>
        <v>0</v>
      </c>
      <c r="K231" s="72"/>
      <c r="L231" s="72"/>
      <c r="M231" s="72"/>
      <c r="N231" s="72"/>
      <c r="O231" s="72"/>
      <c r="P231" s="72"/>
      <c r="Q231" s="72"/>
      <c r="R231" s="72"/>
      <c r="S231" s="72"/>
      <c r="T231" s="72"/>
      <c r="U231" s="72"/>
      <c r="V231" s="72"/>
      <c r="W231" s="72"/>
    </row>
    <row r="232" spans="1:23">
      <c r="A232" s="73" t="str">
        <f t="shared" si="55"/>
        <v>Tomato</v>
      </c>
      <c r="B232" s="73"/>
      <c r="C232" s="214"/>
      <c r="D232" s="74">
        <f t="shared" ref="D232:J239" si="60">C96*$C232*D$124</f>
        <v>0</v>
      </c>
      <c r="E232" s="74">
        <f t="shared" si="60"/>
        <v>0</v>
      </c>
      <c r="F232" s="74">
        <f t="shared" si="60"/>
        <v>0</v>
      </c>
      <c r="G232" s="74">
        <f t="shared" si="60"/>
        <v>0</v>
      </c>
      <c r="H232" s="74">
        <f t="shared" si="60"/>
        <v>0</v>
      </c>
      <c r="I232" s="74">
        <f t="shared" si="60"/>
        <v>0</v>
      </c>
      <c r="J232" s="74">
        <f t="shared" si="60"/>
        <v>0</v>
      </c>
      <c r="K232" s="72"/>
      <c r="L232" s="72"/>
      <c r="M232" s="72"/>
      <c r="N232" s="72"/>
      <c r="O232" s="72"/>
      <c r="P232" s="72"/>
      <c r="Q232" s="72"/>
      <c r="R232" s="72"/>
      <c r="S232" s="72"/>
      <c r="T232" s="72"/>
      <c r="U232" s="72"/>
      <c r="V232" s="72"/>
      <c r="W232" s="72"/>
    </row>
    <row r="233" spans="1:23">
      <c r="A233" s="73" t="str">
        <f t="shared" si="55"/>
        <v>Okra</v>
      </c>
      <c r="B233" s="73"/>
      <c r="C233" s="214"/>
      <c r="D233" s="74">
        <f t="shared" si="60"/>
        <v>0</v>
      </c>
      <c r="E233" s="74">
        <f t="shared" si="60"/>
        <v>0</v>
      </c>
      <c r="F233" s="74">
        <f t="shared" si="60"/>
        <v>0</v>
      </c>
      <c r="G233" s="74">
        <f t="shared" si="60"/>
        <v>0</v>
      </c>
      <c r="H233" s="74">
        <f t="shared" si="60"/>
        <v>0</v>
      </c>
      <c r="I233" s="74">
        <f t="shared" si="60"/>
        <v>0</v>
      </c>
      <c r="J233" s="74">
        <f t="shared" si="60"/>
        <v>0</v>
      </c>
      <c r="K233" s="72"/>
      <c r="L233" s="72"/>
      <c r="M233" s="72"/>
      <c r="N233" s="72"/>
      <c r="O233" s="72"/>
      <c r="P233" s="72"/>
      <c r="Q233" s="72"/>
      <c r="R233" s="72"/>
      <c r="S233" s="72"/>
      <c r="T233" s="72"/>
      <c r="U233" s="72"/>
      <c r="V233" s="72"/>
      <c r="W233" s="72"/>
    </row>
    <row r="234" spans="1:23">
      <c r="A234" s="73" t="str">
        <f t="shared" si="55"/>
        <v>Chilli</v>
      </c>
      <c r="B234" s="73"/>
      <c r="C234" s="214"/>
      <c r="D234" s="74">
        <f t="shared" si="60"/>
        <v>0</v>
      </c>
      <c r="E234" s="74">
        <f t="shared" si="60"/>
        <v>0</v>
      </c>
      <c r="F234" s="74">
        <f t="shared" si="60"/>
        <v>0</v>
      </c>
      <c r="G234" s="74">
        <f t="shared" si="60"/>
        <v>0</v>
      </c>
      <c r="H234" s="74">
        <f t="shared" si="60"/>
        <v>0</v>
      </c>
      <c r="I234" s="74">
        <f t="shared" si="60"/>
        <v>0</v>
      </c>
      <c r="J234" s="74">
        <f t="shared" si="60"/>
        <v>0</v>
      </c>
      <c r="K234" s="72"/>
      <c r="L234" s="72"/>
      <c r="M234" s="72"/>
      <c r="N234" s="72"/>
      <c r="O234" s="72"/>
      <c r="P234" s="72"/>
      <c r="Q234" s="72"/>
      <c r="R234" s="72"/>
      <c r="S234" s="72"/>
      <c r="T234" s="72"/>
      <c r="U234" s="72"/>
      <c r="V234" s="72"/>
      <c r="W234" s="72"/>
    </row>
    <row r="235" spans="1:23">
      <c r="A235" s="73" t="str">
        <f t="shared" si="55"/>
        <v>Brinjal</v>
      </c>
      <c r="B235" s="73"/>
      <c r="C235" s="214"/>
      <c r="D235" s="74">
        <f t="shared" si="60"/>
        <v>0</v>
      </c>
      <c r="E235" s="74">
        <f t="shared" si="60"/>
        <v>0</v>
      </c>
      <c r="F235" s="74">
        <f t="shared" si="60"/>
        <v>0</v>
      </c>
      <c r="G235" s="74">
        <f t="shared" si="60"/>
        <v>0</v>
      </c>
      <c r="H235" s="74">
        <f t="shared" si="60"/>
        <v>0</v>
      </c>
      <c r="I235" s="74">
        <f t="shared" si="60"/>
        <v>0</v>
      </c>
      <c r="J235" s="74">
        <f t="shared" si="60"/>
        <v>0</v>
      </c>
      <c r="K235" s="72"/>
      <c r="L235" s="72"/>
      <c r="M235" s="72"/>
      <c r="N235" s="72"/>
      <c r="O235" s="72"/>
      <c r="P235" s="72"/>
      <c r="Q235" s="72"/>
      <c r="R235" s="72"/>
      <c r="S235" s="72"/>
      <c r="T235" s="72"/>
      <c r="U235" s="72"/>
      <c r="V235" s="72"/>
      <c r="W235" s="72"/>
    </row>
    <row r="236" spans="1:23">
      <c r="A236" s="73">
        <f t="shared" si="55"/>
        <v>0</v>
      </c>
      <c r="B236" s="73"/>
      <c r="C236" s="214"/>
      <c r="D236" s="74">
        <f t="shared" si="60"/>
        <v>0</v>
      </c>
      <c r="E236" s="74">
        <f t="shared" si="60"/>
        <v>0</v>
      </c>
      <c r="F236" s="74">
        <f t="shared" si="60"/>
        <v>0</v>
      </c>
      <c r="G236" s="74">
        <f t="shared" si="60"/>
        <v>0</v>
      </c>
      <c r="H236" s="74">
        <f t="shared" si="60"/>
        <v>0</v>
      </c>
      <c r="I236" s="74">
        <f t="shared" si="60"/>
        <v>0</v>
      </c>
      <c r="J236" s="74">
        <f t="shared" si="60"/>
        <v>0</v>
      </c>
      <c r="K236" s="72"/>
      <c r="L236" s="72"/>
      <c r="M236" s="72"/>
      <c r="N236" s="72"/>
      <c r="O236" s="72"/>
      <c r="P236" s="72"/>
      <c r="Q236" s="72"/>
      <c r="R236" s="72"/>
      <c r="S236" s="72"/>
      <c r="T236" s="72"/>
      <c r="U236" s="72"/>
      <c r="V236" s="72"/>
      <c r="W236" s="72"/>
    </row>
    <row r="237" spans="1:23">
      <c r="A237" s="73">
        <f t="shared" si="55"/>
        <v>0</v>
      </c>
      <c r="B237" s="73"/>
      <c r="C237" s="214"/>
      <c r="D237" s="74">
        <f t="shared" si="60"/>
        <v>0</v>
      </c>
      <c r="E237" s="74">
        <f t="shared" si="60"/>
        <v>0</v>
      </c>
      <c r="F237" s="74">
        <f t="shared" si="60"/>
        <v>0</v>
      </c>
      <c r="G237" s="74">
        <f t="shared" si="60"/>
        <v>0</v>
      </c>
      <c r="H237" s="74">
        <f t="shared" si="60"/>
        <v>0</v>
      </c>
      <c r="I237" s="74">
        <f t="shared" si="60"/>
        <v>0</v>
      </c>
      <c r="J237" s="74">
        <f t="shared" si="60"/>
        <v>0</v>
      </c>
      <c r="K237" s="72"/>
      <c r="L237" s="72"/>
      <c r="M237" s="72"/>
      <c r="N237" s="72"/>
      <c r="O237" s="72"/>
      <c r="P237" s="72"/>
      <c r="Q237" s="72"/>
      <c r="R237" s="72"/>
      <c r="S237" s="72"/>
      <c r="T237" s="72"/>
      <c r="U237" s="72"/>
      <c r="V237" s="72"/>
      <c r="W237" s="72"/>
    </row>
    <row r="238" spans="1:23">
      <c r="A238" s="73">
        <f t="shared" si="55"/>
        <v>0</v>
      </c>
      <c r="B238" s="73"/>
      <c r="C238" s="214"/>
      <c r="D238" s="74">
        <f t="shared" si="60"/>
        <v>0</v>
      </c>
      <c r="E238" s="74">
        <f t="shared" si="60"/>
        <v>0</v>
      </c>
      <c r="F238" s="74">
        <f t="shared" si="60"/>
        <v>0</v>
      </c>
      <c r="G238" s="74">
        <f t="shared" si="60"/>
        <v>0</v>
      </c>
      <c r="H238" s="74">
        <f t="shared" si="60"/>
        <v>0</v>
      </c>
      <c r="I238" s="74">
        <f t="shared" si="60"/>
        <v>0</v>
      </c>
      <c r="J238" s="74">
        <f t="shared" si="60"/>
        <v>0</v>
      </c>
      <c r="K238" s="72"/>
      <c r="L238" s="72"/>
      <c r="M238" s="72"/>
      <c r="N238" s="72"/>
      <c r="O238" s="72"/>
      <c r="P238" s="72"/>
      <c r="Q238" s="72"/>
      <c r="R238" s="72"/>
      <c r="S238" s="72"/>
      <c r="T238" s="72"/>
      <c r="U238" s="72"/>
      <c r="V238" s="72"/>
      <c r="W238" s="72"/>
    </row>
    <row r="239" spans="1:23">
      <c r="A239" s="73">
        <f t="shared" si="55"/>
        <v>0</v>
      </c>
      <c r="B239" s="73"/>
      <c r="C239" s="214"/>
      <c r="D239" s="74">
        <f t="shared" si="60"/>
        <v>0</v>
      </c>
      <c r="E239" s="74">
        <f t="shared" si="60"/>
        <v>0</v>
      </c>
      <c r="F239" s="74">
        <f t="shared" si="60"/>
        <v>0</v>
      </c>
      <c r="G239" s="74">
        <f t="shared" si="60"/>
        <v>0</v>
      </c>
      <c r="H239" s="74">
        <f t="shared" si="60"/>
        <v>0</v>
      </c>
      <c r="I239" s="74">
        <f t="shared" si="60"/>
        <v>0</v>
      </c>
      <c r="J239" s="74">
        <f t="shared" si="60"/>
        <v>0</v>
      </c>
      <c r="K239" s="72"/>
      <c r="L239" s="72"/>
      <c r="M239" s="72"/>
      <c r="N239" s="72"/>
      <c r="O239" s="72"/>
      <c r="P239" s="72"/>
      <c r="Q239" s="72"/>
      <c r="R239" s="72"/>
      <c r="S239" s="72"/>
      <c r="T239" s="72"/>
      <c r="U239" s="72"/>
      <c r="V239" s="72"/>
      <c r="W239" s="72"/>
    </row>
    <row r="240" spans="1:23">
      <c r="A240" s="73" t="str">
        <f>A175</f>
        <v>Pomegranate</v>
      </c>
      <c r="B240" s="73"/>
      <c r="C240" s="214"/>
      <c r="D240" s="74">
        <f t="shared" ref="D240:J244" si="61">C107*$C240*D$124</f>
        <v>0</v>
      </c>
      <c r="E240" s="74">
        <f t="shared" si="61"/>
        <v>0</v>
      </c>
      <c r="F240" s="74">
        <f t="shared" si="61"/>
        <v>0</v>
      </c>
      <c r="G240" s="74">
        <f t="shared" si="61"/>
        <v>0</v>
      </c>
      <c r="H240" s="74">
        <f t="shared" si="61"/>
        <v>0</v>
      </c>
      <c r="I240" s="74">
        <f t="shared" si="61"/>
        <v>0</v>
      </c>
      <c r="J240" s="74">
        <f t="shared" si="61"/>
        <v>0</v>
      </c>
      <c r="K240" s="72"/>
      <c r="L240" s="72"/>
      <c r="M240" s="72"/>
      <c r="N240" s="72"/>
      <c r="O240" s="72"/>
      <c r="P240" s="72"/>
      <c r="Q240" s="72"/>
      <c r="R240" s="72"/>
      <c r="S240" s="72"/>
      <c r="T240" s="72"/>
      <c r="U240" s="72"/>
      <c r="V240" s="72"/>
      <c r="W240" s="72"/>
    </row>
    <row r="241" spans="1:23">
      <c r="A241" s="73" t="str">
        <f>A176</f>
        <v>Custard Apple</v>
      </c>
      <c r="B241" s="73"/>
      <c r="C241" s="214"/>
      <c r="D241" s="74">
        <f t="shared" si="61"/>
        <v>0</v>
      </c>
      <c r="E241" s="74">
        <f t="shared" si="61"/>
        <v>0</v>
      </c>
      <c r="F241" s="74">
        <f t="shared" si="61"/>
        <v>0</v>
      </c>
      <c r="G241" s="74">
        <f t="shared" si="61"/>
        <v>0</v>
      </c>
      <c r="H241" s="74">
        <f t="shared" si="61"/>
        <v>0</v>
      </c>
      <c r="I241" s="74">
        <f t="shared" si="61"/>
        <v>0</v>
      </c>
      <c r="J241" s="74">
        <f t="shared" si="61"/>
        <v>0</v>
      </c>
      <c r="K241" s="72"/>
      <c r="L241" s="72"/>
      <c r="M241" s="72"/>
      <c r="N241" s="72"/>
      <c r="O241" s="72"/>
      <c r="P241" s="72"/>
      <c r="Q241" s="72"/>
      <c r="R241" s="72"/>
      <c r="S241" s="72"/>
      <c r="T241" s="72"/>
      <c r="U241" s="72"/>
      <c r="V241" s="72"/>
      <c r="W241" s="72"/>
    </row>
    <row r="242" spans="1:23">
      <c r="A242" s="73" t="str">
        <f>A177</f>
        <v>Guava</v>
      </c>
      <c r="B242" s="73"/>
      <c r="C242" s="214"/>
      <c r="D242" s="74">
        <f t="shared" si="61"/>
        <v>0</v>
      </c>
      <c r="E242" s="74">
        <f t="shared" si="61"/>
        <v>0</v>
      </c>
      <c r="F242" s="74">
        <f t="shared" si="61"/>
        <v>0</v>
      </c>
      <c r="G242" s="74">
        <f t="shared" si="61"/>
        <v>0</v>
      </c>
      <c r="H242" s="74">
        <f t="shared" si="61"/>
        <v>0</v>
      </c>
      <c r="I242" s="74">
        <f t="shared" si="61"/>
        <v>0</v>
      </c>
      <c r="J242" s="74">
        <f t="shared" si="61"/>
        <v>0</v>
      </c>
      <c r="K242" s="72"/>
      <c r="L242" s="72"/>
      <c r="M242" s="72"/>
      <c r="N242" s="72"/>
      <c r="O242" s="72"/>
      <c r="P242" s="72"/>
      <c r="Q242" s="72"/>
      <c r="R242" s="72"/>
      <c r="S242" s="72"/>
      <c r="T242" s="72"/>
      <c r="U242" s="72"/>
      <c r="V242" s="72"/>
      <c r="W242" s="72"/>
    </row>
    <row r="243" spans="1:23">
      <c r="A243" s="73" t="str">
        <f>A178</f>
        <v>Citrus</v>
      </c>
      <c r="B243" s="73"/>
      <c r="C243" s="214"/>
      <c r="D243" s="74">
        <f t="shared" si="61"/>
        <v>0</v>
      </c>
      <c r="E243" s="74">
        <f t="shared" si="61"/>
        <v>0</v>
      </c>
      <c r="F243" s="74">
        <f t="shared" si="61"/>
        <v>0</v>
      </c>
      <c r="G243" s="74">
        <f t="shared" si="61"/>
        <v>0</v>
      </c>
      <c r="H243" s="74">
        <f t="shared" si="61"/>
        <v>0</v>
      </c>
      <c r="I243" s="74">
        <f t="shared" si="61"/>
        <v>0</v>
      </c>
      <c r="J243" s="74">
        <f t="shared" si="61"/>
        <v>0</v>
      </c>
      <c r="K243" s="72"/>
      <c r="L243" s="72"/>
      <c r="M243" s="72"/>
      <c r="N243" s="72"/>
      <c r="O243" s="72"/>
      <c r="P243" s="72"/>
      <c r="Q243" s="72"/>
      <c r="R243" s="72"/>
      <c r="S243" s="72"/>
      <c r="T243" s="72"/>
      <c r="U243" s="72"/>
      <c r="V243" s="72"/>
      <c r="W243" s="72"/>
    </row>
    <row r="244" spans="1:23">
      <c r="A244" s="73">
        <f>A179</f>
        <v>0</v>
      </c>
      <c r="B244" s="73"/>
      <c r="C244" s="214"/>
      <c r="D244" s="74">
        <f t="shared" si="61"/>
        <v>0</v>
      </c>
      <c r="E244" s="74">
        <f t="shared" si="61"/>
        <v>0</v>
      </c>
      <c r="F244" s="74">
        <f t="shared" si="61"/>
        <v>0</v>
      </c>
      <c r="G244" s="74">
        <f t="shared" si="61"/>
        <v>0</v>
      </c>
      <c r="H244" s="74">
        <f t="shared" si="61"/>
        <v>0</v>
      </c>
      <c r="I244" s="74">
        <f t="shared" si="61"/>
        <v>0</v>
      </c>
      <c r="J244" s="74">
        <f t="shared" si="61"/>
        <v>0</v>
      </c>
      <c r="K244" s="72"/>
      <c r="L244" s="72"/>
      <c r="M244" s="72"/>
      <c r="N244" s="72"/>
      <c r="O244" s="72"/>
      <c r="P244" s="72"/>
      <c r="Q244" s="72"/>
      <c r="R244" s="72"/>
      <c r="S244" s="72"/>
      <c r="T244" s="72"/>
      <c r="U244" s="72"/>
      <c r="V244" s="72"/>
      <c r="W244" s="72"/>
    </row>
    <row r="245" spans="1:23">
      <c r="A245" s="73" t="str">
        <f>A181</f>
        <v>Fertilizer(Rate/KG)</v>
      </c>
      <c r="B245" s="73"/>
      <c r="C245" s="74"/>
      <c r="D245" s="74"/>
      <c r="E245" s="74"/>
      <c r="F245" s="74"/>
      <c r="G245" s="74"/>
      <c r="H245" s="74"/>
      <c r="I245" s="74"/>
      <c r="J245" s="74"/>
      <c r="K245" s="72"/>
      <c r="L245" s="72"/>
      <c r="M245" s="72"/>
      <c r="N245" s="72"/>
      <c r="O245" s="72"/>
      <c r="P245" s="72"/>
      <c r="Q245" s="72"/>
      <c r="R245" s="72"/>
      <c r="S245" s="72"/>
      <c r="T245" s="72"/>
      <c r="U245" s="72"/>
      <c r="V245" s="72"/>
      <c r="W245" s="72"/>
    </row>
    <row r="246" spans="1:23">
      <c r="A246" s="73" t="str">
        <f>A182</f>
        <v>SSP</v>
      </c>
      <c r="B246" s="73"/>
      <c r="C246" s="214">
        <v>6</v>
      </c>
      <c r="D246" s="74">
        <f t="shared" ref="D246:J246" si="62">C114*$C$246*D124</f>
        <v>0</v>
      </c>
      <c r="E246" s="74">
        <f t="shared" si="62"/>
        <v>0</v>
      </c>
      <c r="F246" s="74">
        <f t="shared" si="62"/>
        <v>0</v>
      </c>
      <c r="G246" s="74">
        <f t="shared" si="62"/>
        <v>0</v>
      </c>
      <c r="H246" s="74">
        <f t="shared" si="62"/>
        <v>0</v>
      </c>
      <c r="I246" s="74">
        <f t="shared" si="62"/>
        <v>0</v>
      </c>
      <c r="J246" s="74">
        <f t="shared" si="62"/>
        <v>0</v>
      </c>
      <c r="K246" s="72"/>
      <c r="L246" s="72"/>
      <c r="M246" s="72"/>
      <c r="N246" s="72"/>
      <c r="O246" s="72"/>
      <c r="P246" s="72"/>
      <c r="Q246" s="72"/>
      <c r="R246" s="72"/>
      <c r="S246" s="72"/>
      <c r="T246" s="72"/>
      <c r="U246" s="72"/>
      <c r="V246" s="72"/>
      <c r="W246" s="72"/>
    </row>
    <row r="247" spans="1:23">
      <c r="A247" s="73" t="str">
        <f>A183</f>
        <v>Urea</v>
      </c>
      <c r="B247" s="73"/>
      <c r="C247" s="214">
        <v>5</v>
      </c>
      <c r="D247" s="74">
        <f t="shared" ref="D247:J247" si="63">C115*$C$247*D124</f>
        <v>0</v>
      </c>
      <c r="E247" s="74">
        <f t="shared" si="63"/>
        <v>0</v>
      </c>
      <c r="F247" s="74">
        <f t="shared" si="63"/>
        <v>0</v>
      </c>
      <c r="G247" s="74">
        <f t="shared" si="63"/>
        <v>0</v>
      </c>
      <c r="H247" s="74">
        <f t="shared" si="63"/>
        <v>0</v>
      </c>
      <c r="I247" s="74">
        <f t="shared" si="63"/>
        <v>0</v>
      </c>
      <c r="J247" s="74">
        <f t="shared" si="63"/>
        <v>0</v>
      </c>
      <c r="K247" s="72"/>
      <c r="L247" s="72"/>
      <c r="M247" s="72"/>
      <c r="N247" s="72"/>
      <c r="O247" s="72"/>
      <c r="P247" s="72"/>
      <c r="Q247" s="72"/>
      <c r="R247" s="72"/>
      <c r="S247" s="72"/>
      <c r="T247" s="72"/>
      <c r="U247" s="72"/>
      <c r="V247" s="72"/>
      <c r="W247" s="72"/>
    </row>
    <row r="248" spans="1:23">
      <c r="A248" s="73" t="str">
        <f>A184</f>
        <v>DAP</v>
      </c>
      <c r="B248" s="73"/>
      <c r="C248" s="214">
        <v>27</v>
      </c>
      <c r="D248" s="74">
        <f t="shared" ref="D248:J248" si="64">C116*$C$248*D124</f>
        <v>0</v>
      </c>
      <c r="E248" s="74">
        <f t="shared" si="64"/>
        <v>0</v>
      </c>
      <c r="F248" s="74">
        <f t="shared" si="64"/>
        <v>0</v>
      </c>
      <c r="G248" s="74">
        <f t="shared" si="64"/>
        <v>0</v>
      </c>
      <c r="H248" s="74">
        <f t="shared" si="64"/>
        <v>0</v>
      </c>
      <c r="I248" s="74">
        <f t="shared" si="64"/>
        <v>0</v>
      </c>
      <c r="J248" s="74">
        <f t="shared" si="64"/>
        <v>0</v>
      </c>
      <c r="K248" s="72"/>
      <c r="L248" s="72"/>
      <c r="M248" s="72"/>
      <c r="N248" s="72"/>
      <c r="O248" s="72"/>
      <c r="P248" s="72"/>
      <c r="Q248" s="72"/>
      <c r="R248" s="72"/>
      <c r="S248" s="72"/>
      <c r="T248" s="72"/>
      <c r="U248" s="72"/>
      <c r="V248" s="72"/>
      <c r="W248" s="72"/>
    </row>
    <row r="249" spans="1:23">
      <c r="A249" s="73"/>
      <c r="B249" s="73"/>
      <c r="C249" s="74"/>
      <c r="D249" s="74"/>
      <c r="E249" s="74"/>
      <c r="F249" s="74"/>
      <c r="G249" s="74"/>
      <c r="H249" s="74"/>
      <c r="I249" s="74"/>
      <c r="J249" s="74"/>
      <c r="K249" s="72"/>
      <c r="L249" s="72"/>
      <c r="M249" s="72"/>
      <c r="N249" s="72"/>
      <c r="O249" s="72"/>
      <c r="P249" s="72"/>
      <c r="Q249" s="72"/>
      <c r="R249" s="72"/>
      <c r="S249" s="72"/>
      <c r="T249" s="72"/>
      <c r="U249" s="72"/>
      <c r="V249" s="72"/>
      <c r="W249" s="72"/>
    </row>
    <row r="250" spans="1:23">
      <c r="A250" s="73" t="str">
        <f>A186</f>
        <v>Pesticide</v>
      </c>
      <c r="B250" s="73"/>
      <c r="C250" s="74"/>
      <c r="D250" s="74"/>
      <c r="E250" s="74"/>
      <c r="F250" s="74"/>
      <c r="G250" s="74"/>
      <c r="H250" s="74"/>
      <c r="I250" s="74"/>
      <c r="J250" s="74"/>
      <c r="K250" s="72"/>
      <c r="L250" s="72"/>
      <c r="M250" s="72"/>
      <c r="N250" s="72"/>
      <c r="O250" s="72"/>
      <c r="P250" s="72"/>
      <c r="Q250" s="72"/>
      <c r="R250" s="72"/>
      <c r="S250" s="72"/>
      <c r="T250" s="72"/>
      <c r="U250" s="72"/>
      <c r="V250" s="72"/>
      <c r="W250" s="72"/>
    </row>
    <row r="251" spans="1:23">
      <c r="A251" s="73" t="str">
        <f>A187</f>
        <v>Dupont Coragen</v>
      </c>
      <c r="B251" s="73"/>
      <c r="C251" s="214">
        <v>2800</v>
      </c>
      <c r="D251" s="74">
        <f t="shared" ref="D251:J251" si="65">C118*$C$251*D124</f>
        <v>0</v>
      </c>
      <c r="E251" s="74">
        <f t="shared" si="65"/>
        <v>0</v>
      </c>
      <c r="F251" s="74">
        <f t="shared" si="65"/>
        <v>0</v>
      </c>
      <c r="G251" s="74">
        <f t="shared" si="65"/>
        <v>0</v>
      </c>
      <c r="H251" s="74">
        <f t="shared" si="65"/>
        <v>0</v>
      </c>
      <c r="I251" s="74">
        <f t="shared" si="65"/>
        <v>0</v>
      </c>
      <c r="J251" s="74">
        <f t="shared" si="65"/>
        <v>0</v>
      </c>
      <c r="K251" s="72"/>
      <c r="L251" s="72"/>
      <c r="M251" s="72"/>
      <c r="N251" s="72"/>
      <c r="O251" s="72"/>
      <c r="P251" s="72"/>
      <c r="Q251" s="72"/>
      <c r="R251" s="72"/>
      <c r="S251" s="72"/>
      <c r="T251" s="72"/>
      <c r="U251" s="72"/>
      <c r="V251" s="72"/>
      <c r="W251" s="72"/>
    </row>
    <row r="252" spans="1:23">
      <c r="A252" s="73" t="str">
        <f>A188</f>
        <v>Confidor Boyer</v>
      </c>
      <c r="B252" s="73"/>
      <c r="C252" s="214">
        <v>2000</v>
      </c>
      <c r="D252" s="74">
        <f t="shared" ref="D252:J252" si="66">C119*$C$252*D124</f>
        <v>0</v>
      </c>
      <c r="E252" s="74">
        <f t="shared" si="66"/>
        <v>0</v>
      </c>
      <c r="F252" s="74">
        <f t="shared" si="66"/>
        <v>0</v>
      </c>
      <c r="G252" s="74">
        <f t="shared" si="66"/>
        <v>0</v>
      </c>
      <c r="H252" s="74">
        <f t="shared" si="66"/>
        <v>0</v>
      </c>
      <c r="I252" s="74">
        <f t="shared" si="66"/>
        <v>0</v>
      </c>
      <c r="J252" s="74">
        <f t="shared" si="66"/>
        <v>0</v>
      </c>
      <c r="K252" s="72"/>
      <c r="L252" s="72"/>
      <c r="M252" s="72"/>
      <c r="N252" s="72"/>
      <c r="O252" s="72"/>
      <c r="P252" s="72"/>
      <c r="Q252" s="72"/>
      <c r="R252" s="72"/>
      <c r="S252" s="72"/>
      <c r="T252" s="72"/>
      <c r="U252" s="72"/>
      <c r="V252" s="72"/>
      <c r="W252" s="72"/>
    </row>
    <row r="253" spans="1:23">
      <c r="A253" s="73"/>
      <c r="B253" s="73"/>
      <c r="C253" s="74"/>
      <c r="D253" s="74"/>
      <c r="E253" s="74"/>
      <c r="F253" s="74"/>
      <c r="G253" s="74"/>
      <c r="H253" s="74"/>
      <c r="I253" s="74"/>
      <c r="J253" s="74"/>
      <c r="K253" s="72"/>
      <c r="L253" s="72"/>
      <c r="M253" s="72"/>
      <c r="N253" s="72"/>
      <c r="O253" s="72"/>
      <c r="P253" s="72"/>
      <c r="Q253" s="72"/>
      <c r="R253" s="72"/>
      <c r="S253" s="72"/>
      <c r="T253" s="72"/>
      <c r="U253" s="72"/>
      <c r="V253" s="72"/>
      <c r="W253" s="72"/>
    </row>
    <row r="254" spans="1:23">
      <c r="A254" s="73" t="s">
        <v>287</v>
      </c>
      <c r="B254" s="73"/>
      <c r="C254" s="214">
        <v>10</v>
      </c>
      <c r="D254" s="74">
        <f t="shared" ref="D254:J254" si="67">(SUM(C63:C119)/50)*$C$254*D124</f>
        <v>0</v>
      </c>
      <c r="E254" s="74">
        <f t="shared" si="67"/>
        <v>0</v>
      </c>
      <c r="F254" s="74">
        <f t="shared" si="67"/>
        <v>0</v>
      </c>
      <c r="G254" s="74">
        <f t="shared" si="67"/>
        <v>0</v>
      </c>
      <c r="H254" s="74">
        <f t="shared" si="67"/>
        <v>0</v>
      </c>
      <c r="I254" s="74">
        <f t="shared" si="67"/>
        <v>0</v>
      </c>
      <c r="J254" s="74">
        <f t="shared" si="67"/>
        <v>0</v>
      </c>
      <c r="K254" s="72"/>
      <c r="L254" s="72"/>
      <c r="M254" s="72"/>
      <c r="N254" s="72"/>
      <c r="O254" s="72"/>
      <c r="P254" s="72"/>
      <c r="Q254" s="72"/>
      <c r="R254" s="72"/>
      <c r="S254" s="72"/>
      <c r="T254" s="72"/>
      <c r="U254" s="72"/>
      <c r="V254" s="72"/>
      <c r="W254" s="72"/>
    </row>
    <row r="255" spans="1:23">
      <c r="A255" s="73" t="s">
        <v>171</v>
      </c>
      <c r="B255" s="73"/>
      <c r="C255" s="214">
        <v>100</v>
      </c>
      <c r="D255" s="74">
        <f t="shared" ref="D255:J255" si="68">(SUM(C63:C119)/50)*$C$255*D124</f>
        <v>0</v>
      </c>
      <c r="E255" s="74">
        <f t="shared" si="68"/>
        <v>0</v>
      </c>
      <c r="F255" s="74">
        <f t="shared" si="68"/>
        <v>0</v>
      </c>
      <c r="G255" s="74">
        <f t="shared" si="68"/>
        <v>0</v>
      </c>
      <c r="H255" s="74">
        <f t="shared" si="68"/>
        <v>0</v>
      </c>
      <c r="I255" s="74">
        <f t="shared" si="68"/>
        <v>0</v>
      </c>
      <c r="J255" s="74">
        <f t="shared" si="68"/>
        <v>0</v>
      </c>
      <c r="K255" s="72"/>
      <c r="L255" s="72"/>
      <c r="M255" s="72"/>
      <c r="N255" s="72"/>
      <c r="O255" s="72"/>
      <c r="P255" s="72"/>
      <c r="Q255" s="72"/>
      <c r="R255" s="72"/>
      <c r="S255" s="72"/>
      <c r="T255" s="72"/>
      <c r="U255" s="72"/>
      <c r="V255" s="72"/>
      <c r="W255" s="72"/>
    </row>
    <row r="256" spans="1:23">
      <c r="A256" s="73"/>
      <c r="B256" s="73"/>
      <c r="C256" s="214"/>
      <c r="D256" s="172"/>
      <c r="E256" s="74"/>
      <c r="F256" s="74"/>
      <c r="G256" s="74"/>
      <c r="H256" s="74"/>
      <c r="I256" s="74"/>
      <c r="J256" s="74"/>
      <c r="K256" s="72"/>
      <c r="L256" s="72"/>
      <c r="M256" s="72"/>
      <c r="N256" s="72"/>
      <c r="O256" s="72"/>
      <c r="P256" s="72"/>
      <c r="Q256" s="72"/>
      <c r="R256" s="72"/>
      <c r="S256" s="72"/>
      <c r="T256" s="72"/>
      <c r="U256" s="72"/>
      <c r="V256" s="72"/>
      <c r="W256" s="72"/>
    </row>
    <row r="257" spans="1:23">
      <c r="A257" s="73"/>
      <c r="B257" s="73"/>
      <c r="C257" s="214"/>
      <c r="D257" s="172"/>
      <c r="E257" s="74"/>
      <c r="F257" s="74"/>
      <c r="G257" s="74"/>
      <c r="H257" s="74"/>
      <c r="I257" s="74"/>
      <c r="J257" s="74"/>
      <c r="K257" s="72"/>
      <c r="L257" s="72"/>
      <c r="M257" s="72"/>
      <c r="N257" s="72"/>
      <c r="O257" s="72"/>
      <c r="P257" s="72"/>
      <c r="Q257" s="72"/>
      <c r="R257" s="72"/>
      <c r="S257" s="72"/>
      <c r="T257" s="72"/>
      <c r="U257" s="72"/>
      <c r="V257" s="72"/>
      <c r="W257" s="72"/>
    </row>
    <row r="258" spans="1:23">
      <c r="A258" s="73"/>
      <c r="B258" s="73"/>
      <c r="C258" s="214"/>
      <c r="D258" s="172"/>
      <c r="E258" s="74"/>
      <c r="F258" s="74"/>
      <c r="G258" s="74"/>
      <c r="H258" s="74"/>
      <c r="I258" s="74"/>
      <c r="J258" s="74"/>
      <c r="K258" s="72"/>
      <c r="L258" s="72"/>
      <c r="M258" s="72"/>
      <c r="N258" s="72"/>
      <c r="O258" s="72"/>
      <c r="P258" s="72"/>
      <c r="Q258" s="72"/>
      <c r="R258" s="72"/>
      <c r="S258" s="72"/>
      <c r="T258" s="72"/>
      <c r="U258" s="72"/>
      <c r="V258" s="72"/>
      <c r="W258" s="72"/>
    </row>
    <row r="259" spans="1:23">
      <c r="A259" s="73"/>
      <c r="B259" s="73"/>
      <c r="C259" s="214"/>
      <c r="D259" s="172"/>
      <c r="E259" s="74"/>
      <c r="F259" s="74"/>
      <c r="G259" s="74"/>
      <c r="H259" s="74"/>
      <c r="I259" s="74"/>
      <c r="J259" s="74"/>
      <c r="K259" s="72"/>
      <c r="L259" s="72"/>
      <c r="M259" s="72"/>
      <c r="N259" s="72"/>
      <c r="O259" s="72"/>
      <c r="P259" s="72"/>
      <c r="Q259" s="72"/>
      <c r="R259" s="72"/>
      <c r="S259" s="72"/>
      <c r="T259" s="72"/>
      <c r="U259" s="72"/>
      <c r="V259" s="72"/>
      <c r="W259" s="72"/>
    </row>
    <row r="260" spans="1:23">
      <c r="A260" s="73" t="s">
        <v>334</v>
      </c>
      <c r="B260" s="73"/>
      <c r="C260" s="74"/>
      <c r="D260" s="172"/>
      <c r="E260" s="74">
        <f>'5.Closing Stock &amp; W Capital'!F6</f>
        <v>0</v>
      </c>
      <c r="F260" s="74">
        <f>'5.Closing Stock &amp; W Capital'!G6</f>
        <v>0</v>
      </c>
      <c r="G260" s="74">
        <f>'5.Closing Stock &amp; W Capital'!H6</f>
        <v>0</v>
      </c>
      <c r="H260" s="74">
        <f>'5.Closing Stock &amp; W Capital'!I6</f>
        <v>0</v>
      </c>
      <c r="I260" s="74">
        <f>'5.Closing Stock &amp; W Capital'!J6</f>
        <v>0</v>
      </c>
      <c r="J260" s="74">
        <f>'5.Closing Stock &amp; W Capital'!K6</f>
        <v>0</v>
      </c>
      <c r="K260" s="72"/>
      <c r="L260" s="72"/>
      <c r="M260" s="72"/>
      <c r="N260" s="72"/>
      <c r="O260" s="72"/>
      <c r="P260" s="72"/>
      <c r="Q260" s="72"/>
      <c r="R260" s="72"/>
      <c r="S260" s="72"/>
      <c r="T260" s="72"/>
      <c r="U260" s="72"/>
      <c r="V260" s="72"/>
      <c r="W260" s="72"/>
    </row>
    <row r="261" spans="1:23">
      <c r="A261" s="73" t="s">
        <v>335</v>
      </c>
      <c r="B261" s="73"/>
      <c r="C261" s="73"/>
      <c r="D261" s="172">
        <f>'5.Closing Stock &amp; W Capital'!E15</f>
        <v>0</v>
      </c>
      <c r="E261" s="74">
        <f>'5.Closing Stock &amp; W Capital'!F15</f>
        <v>0</v>
      </c>
      <c r="F261" s="74">
        <f>'5.Closing Stock &amp; W Capital'!G15</f>
        <v>0</v>
      </c>
      <c r="G261" s="74">
        <f>'5.Closing Stock &amp; W Capital'!H15</f>
        <v>0</v>
      </c>
      <c r="H261" s="74">
        <f>'5.Closing Stock &amp; W Capital'!I15</f>
        <v>0</v>
      </c>
      <c r="I261" s="74">
        <f>'5.Closing Stock &amp; W Capital'!J15</f>
        <v>0</v>
      </c>
      <c r="J261" s="74">
        <f>'5.Closing Stock &amp; W Capital'!K15</f>
        <v>0</v>
      </c>
      <c r="K261" s="72"/>
      <c r="L261" s="72"/>
      <c r="M261" s="72"/>
      <c r="N261" s="72"/>
      <c r="O261" s="72"/>
      <c r="P261" s="72"/>
      <c r="Q261" s="72"/>
      <c r="R261" s="72"/>
      <c r="S261" s="72"/>
      <c r="T261" s="72"/>
      <c r="U261" s="72"/>
      <c r="V261" s="72"/>
      <c r="W261" s="72"/>
    </row>
    <row r="262" spans="1:23">
      <c r="A262" s="73"/>
      <c r="B262" s="73"/>
      <c r="C262" s="73"/>
      <c r="D262" s="72"/>
      <c r="E262" s="72"/>
      <c r="F262" s="72"/>
      <c r="G262" s="72"/>
      <c r="H262" s="72"/>
      <c r="I262" s="72"/>
      <c r="J262" s="72"/>
      <c r="K262" s="72"/>
      <c r="L262" s="72"/>
      <c r="M262" s="72"/>
      <c r="N262" s="72"/>
      <c r="O262" s="72"/>
      <c r="P262" s="72"/>
      <c r="Q262" s="72"/>
      <c r="R262" s="72"/>
      <c r="S262" s="72"/>
      <c r="T262" s="72"/>
      <c r="U262" s="72"/>
      <c r="V262" s="72"/>
      <c r="W262" s="72"/>
    </row>
    <row r="263" spans="1:23">
      <c r="A263" s="75" t="s">
        <v>312</v>
      </c>
      <c r="B263" s="75"/>
      <c r="C263" s="91"/>
      <c r="D263" s="91">
        <f>SUM(D198:D259)+D260-D261</f>
        <v>0</v>
      </c>
      <c r="E263" s="91">
        <f t="shared" ref="E263:J263" si="69">SUM(E198:E259)+E260-E261</f>
        <v>0</v>
      </c>
      <c r="F263" s="91">
        <f t="shared" si="69"/>
        <v>0</v>
      </c>
      <c r="G263" s="91">
        <f t="shared" si="69"/>
        <v>0</v>
      </c>
      <c r="H263" s="91">
        <f t="shared" si="69"/>
        <v>0</v>
      </c>
      <c r="I263" s="91">
        <f t="shared" si="69"/>
        <v>0</v>
      </c>
      <c r="J263" s="91">
        <f t="shared" si="69"/>
        <v>0</v>
      </c>
      <c r="K263" s="72"/>
      <c r="L263" s="72"/>
      <c r="M263" s="72"/>
      <c r="N263" s="72"/>
      <c r="O263" s="72"/>
      <c r="P263" s="72"/>
      <c r="Q263" s="72"/>
      <c r="R263" s="72"/>
      <c r="S263" s="72"/>
      <c r="T263" s="72"/>
      <c r="U263" s="72"/>
      <c r="V263" s="72"/>
      <c r="W263" s="72"/>
    </row>
    <row r="264" spans="1:23">
      <c r="A264" s="73"/>
      <c r="B264" s="73"/>
      <c r="C264" s="74"/>
      <c r="D264" s="74"/>
      <c r="E264" s="74"/>
      <c r="F264" s="74"/>
      <c r="G264" s="74"/>
      <c r="H264" s="74"/>
      <c r="I264" s="74"/>
      <c r="J264" s="74"/>
      <c r="K264" s="72"/>
      <c r="L264" s="72"/>
      <c r="M264" s="72"/>
      <c r="N264" s="72"/>
      <c r="O264" s="72"/>
      <c r="P264" s="72"/>
      <c r="Q264" s="72"/>
      <c r="R264" s="72"/>
      <c r="S264" s="72"/>
      <c r="T264" s="72"/>
      <c r="U264" s="72"/>
      <c r="V264" s="72"/>
      <c r="W264" s="72"/>
    </row>
    <row r="265" spans="1:23">
      <c r="A265" s="75" t="s">
        <v>304</v>
      </c>
      <c r="B265" s="75"/>
      <c r="C265" s="74"/>
      <c r="D265" s="74"/>
      <c r="E265" s="74"/>
      <c r="F265" s="74"/>
      <c r="G265" s="74"/>
      <c r="H265" s="74"/>
      <c r="I265" s="74"/>
      <c r="J265" s="74"/>
      <c r="K265" s="72"/>
      <c r="L265" s="72"/>
      <c r="M265" s="72"/>
      <c r="N265" s="72"/>
      <c r="O265" s="72"/>
      <c r="P265" s="72"/>
      <c r="Q265" s="72"/>
      <c r="R265" s="72"/>
      <c r="S265" s="72"/>
      <c r="T265" s="72"/>
      <c r="U265" s="72"/>
      <c r="V265" s="72"/>
      <c r="W265" s="72"/>
    </row>
    <row r="266" spans="1:23">
      <c r="A266" s="73" t="s">
        <v>317</v>
      </c>
      <c r="B266" s="73">
        <v>12</v>
      </c>
      <c r="C266" s="214"/>
      <c r="D266" s="74">
        <f t="shared" ref="D266:J266" si="70">$B$266*$C$266*D124</f>
        <v>0</v>
      </c>
      <c r="E266" s="74">
        <f t="shared" si="70"/>
        <v>0</v>
      </c>
      <c r="F266" s="74">
        <f t="shared" si="70"/>
        <v>0</v>
      </c>
      <c r="G266" s="74">
        <f t="shared" si="70"/>
        <v>0</v>
      </c>
      <c r="H266" s="74">
        <f t="shared" si="70"/>
        <v>0</v>
      </c>
      <c r="I266" s="74">
        <f t="shared" si="70"/>
        <v>0</v>
      </c>
      <c r="J266" s="74">
        <f t="shared" si="70"/>
        <v>0</v>
      </c>
      <c r="K266" s="72"/>
      <c r="L266" s="72"/>
      <c r="M266" s="72"/>
      <c r="N266" s="72"/>
      <c r="O266" s="72"/>
      <c r="P266" s="72"/>
      <c r="Q266" s="72"/>
      <c r="R266" s="72"/>
      <c r="S266" s="72"/>
      <c r="T266" s="72"/>
      <c r="U266" s="72"/>
      <c r="V266" s="72"/>
      <c r="W266" s="72"/>
    </row>
    <row r="267" spans="1:23">
      <c r="A267" s="73" t="s">
        <v>318</v>
      </c>
      <c r="B267" s="194">
        <v>1</v>
      </c>
      <c r="C267" s="214"/>
      <c r="D267" s="74">
        <f t="shared" ref="D267:J267" si="71">$B$267*$C$267*12*D124</f>
        <v>0</v>
      </c>
      <c r="E267" s="74">
        <f t="shared" si="71"/>
        <v>0</v>
      </c>
      <c r="F267" s="74">
        <f t="shared" si="71"/>
        <v>0</v>
      </c>
      <c r="G267" s="74">
        <f t="shared" si="71"/>
        <v>0</v>
      </c>
      <c r="H267" s="74">
        <f t="shared" si="71"/>
        <v>0</v>
      </c>
      <c r="I267" s="74">
        <f t="shared" si="71"/>
        <v>0</v>
      </c>
      <c r="J267" s="74">
        <f t="shared" si="71"/>
        <v>0</v>
      </c>
      <c r="K267" s="72"/>
      <c r="L267" s="72"/>
      <c r="M267" s="72"/>
      <c r="N267" s="72"/>
      <c r="O267" s="72"/>
      <c r="P267" s="72"/>
      <c r="Q267" s="72"/>
      <c r="R267" s="72"/>
      <c r="S267" s="72"/>
      <c r="T267" s="72"/>
      <c r="U267" s="72"/>
      <c r="V267" s="72"/>
      <c r="W267" s="72"/>
    </row>
    <row r="268" spans="1:23">
      <c r="A268" s="73" t="s">
        <v>189</v>
      </c>
      <c r="B268" s="194">
        <v>1</v>
      </c>
      <c r="C268" s="214"/>
      <c r="D268" s="74">
        <f t="shared" ref="D268:J268" si="72">$B$268*$C$268*12*D124</f>
        <v>0</v>
      </c>
      <c r="E268" s="74">
        <f t="shared" si="72"/>
        <v>0</v>
      </c>
      <c r="F268" s="74">
        <f t="shared" si="72"/>
        <v>0</v>
      </c>
      <c r="G268" s="74">
        <f t="shared" si="72"/>
        <v>0</v>
      </c>
      <c r="H268" s="74">
        <f t="shared" si="72"/>
        <v>0</v>
      </c>
      <c r="I268" s="74">
        <f t="shared" si="72"/>
        <v>0</v>
      </c>
      <c r="J268" s="74">
        <f t="shared" si="72"/>
        <v>0</v>
      </c>
      <c r="K268" s="72"/>
      <c r="L268" s="72"/>
      <c r="M268" s="72"/>
      <c r="N268" s="72"/>
      <c r="O268" s="72"/>
      <c r="P268" s="72"/>
      <c r="Q268" s="72"/>
      <c r="R268" s="72"/>
      <c r="S268" s="72"/>
      <c r="T268" s="72"/>
      <c r="U268" s="72"/>
      <c r="V268" s="72"/>
      <c r="W268" s="72"/>
    </row>
    <row r="269" spans="1:23">
      <c r="A269" s="73" t="s">
        <v>319</v>
      </c>
      <c r="B269" s="73">
        <v>12</v>
      </c>
      <c r="C269" s="214"/>
      <c r="D269" s="74">
        <f t="shared" ref="D269:J269" si="73">$B$269*$C$269*D124</f>
        <v>0</v>
      </c>
      <c r="E269" s="74">
        <f t="shared" si="73"/>
        <v>0</v>
      </c>
      <c r="F269" s="74">
        <f t="shared" si="73"/>
        <v>0</v>
      </c>
      <c r="G269" s="74">
        <f t="shared" si="73"/>
        <v>0</v>
      </c>
      <c r="H269" s="74">
        <f t="shared" si="73"/>
        <v>0</v>
      </c>
      <c r="I269" s="74">
        <f t="shared" si="73"/>
        <v>0</v>
      </c>
      <c r="J269" s="74">
        <f t="shared" si="73"/>
        <v>0</v>
      </c>
      <c r="K269" s="72"/>
      <c r="L269" s="72"/>
      <c r="M269" s="72"/>
      <c r="N269" s="72"/>
      <c r="O269" s="72"/>
      <c r="P269" s="72"/>
      <c r="Q269" s="72"/>
      <c r="R269" s="72"/>
      <c r="S269" s="72"/>
      <c r="T269" s="72"/>
      <c r="U269" s="72"/>
      <c r="V269" s="72"/>
      <c r="W269" s="72"/>
    </row>
    <row r="270" spans="1:23">
      <c r="A270" s="73"/>
      <c r="B270" s="73"/>
      <c r="C270" s="214"/>
      <c r="D270" s="74"/>
      <c r="E270" s="74"/>
      <c r="F270" s="74"/>
      <c r="G270" s="74"/>
      <c r="H270" s="74"/>
      <c r="I270" s="74"/>
      <c r="J270" s="74"/>
      <c r="K270" s="72"/>
      <c r="L270" s="72"/>
      <c r="M270" s="72"/>
      <c r="N270" s="72"/>
      <c r="O270" s="72"/>
      <c r="P270" s="72"/>
      <c r="Q270" s="72"/>
      <c r="R270" s="72"/>
      <c r="S270" s="72"/>
      <c r="T270" s="72"/>
      <c r="U270" s="72"/>
      <c r="V270" s="72"/>
      <c r="W270" s="72"/>
    </row>
    <row r="271" spans="1:23">
      <c r="A271" s="73"/>
      <c r="B271" s="73"/>
      <c r="C271" s="214"/>
      <c r="D271" s="74"/>
      <c r="E271" s="74"/>
      <c r="F271" s="74"/>
      <c r="G271" s="74"/>
      <c r="H271" s="74"/>
      <c r="I271" s="74"/>
      <c r="J271" s="74"/>
      <c r="K271" s="72"/>
      <c r="L271" s="72"/>
      <c r="M271" s="72"/>
      <c r="N271" s="72"/>
      <c r="O271" s="72"/>
      <c r="P271" s="72"/>
      <c r="Q271" s="72"/>
      <c r="R271" s="72"/>
      <c r="S271" s="72"/>
      <c r="T271" s="72"/>
      <c r="U271" s="72"/>
      <c r="V271" s="72"/>
      <c r="W271" s="72"/>
    </row>
    <row r="272" spans="1:23">
      <c r="A272" s="73"/>
      <c r="B272" s="73"/>
      <c r="C272" s="214"/>
      <c r="D272" s="74"/>
      <c r="E272" s="74"/>
      <c r="F272" s="74"/>
      <c r="G272" s="74"/>
      <c r="H272" s="74"/>
      <c r="I272" s="74"/>
      <c r="J272" s="74"/>
      <c r="K272" s="72"/>
      <c r="L272" s="72"/>
      <c r="M272" s="72"/>
      <c r="N272" s="72"/>
      <c r="O272" s="72"/>
      <c r="P272" s="72"/>
      <c r="Q272" s="72"/>
      <c r="R272" s="72"/>
      <c r="S272" s="72"/>
      <c r="T272" s="72"/>
      <c r="U272" s="72"/>
      <c r="V272" s="72"/>
      <c r="W272" s="72"/>
    </row>
    <row r="273" spans="1:23">
      <c r="A273" s="73"/>
      <c r="B273" s="73"/>
      <c r="C273" s="214"/>
      <c r="D273" s="74"/>
      <c r="E273" s="74"/>
      <c r="F273" s="74"/>
      <c r="G273" s="74"/>
      <c r="H273" s="74"/>
      <c r="I273" s="74"/>
      <c r="J273" s="74"/>
      <c r="K273" s="72"/>
      <c r="L273" s="72"/>
      <c r="M273" s="72"/>
      <c r="N273" s="72"/>
      <c r="O273" s="72"/>
      <c r="P273" s="72"/>
      <c r="Q273" s="72"/>
      <c r="R273" s="72"/>
      <c r="S273" s="72"/>
      <c r="T273" s="72"/>
      <c r="U273" s="72"/>
      <c r="V273" s="72"/>
      <c r="W273" s="72"/>
    </row>
    <row r="274" spans="1:23">
      <c r="A274" s="75" t="s">
        <v>316</v>
      </c>
      <c r="B274" s="75"/>
      <c r="C274" s="91"/>
      <c r="D274" s="91">
        <f>SUM(D266:D273)</f>
        <v>0</v>
      </c>
      <c r="E274" s="91">
        <f t="shared" ref="E274:J274" si="74">SUM(E266:E273)</f>
        <v>0</v>
      </c>
      <c r="F274" s="91">
        <f t="shared" si="74"/>
        <v>0</v>
      </c>
      <c r="G274" s="91">
        <f t="shared" si="74"/>
        <v>0</v>
      </c>
      <c r="H274" s="91">
        <f t="shared" si="74"/>
        <v>0</v>
      </c>
      <c r="I274" s="91">
        <f t="shared" si="74"/>
        <v>0</v>
      </c>
      <c r="J274" s="91">
        <f t="shared" si="74"/>
        <v>0</v>
      </c>
      <c r="K274" s="72"/>
      <c r="L274" s="72"/>
      <c r="M274" s="72"/>
      <c r="N274" s="72"/>
      <c r="O274" s="72"/>
      <c r="P274" s="72"/>
      <c r="Q274" s="72"/>
      <c r="R274" s="72"/>
      <c r="S274" s="72"/>
      <c r="T274" s="72"/>
      <c r="U274" s="72"/>
      <c r="V274" s="72"/>
      <c r="W274" s="72"/>
    </row>
    <row r="275" spans="1:23">
      <c r="A275" s="166" t="s">
        <v>136</v>
      </c>
      <c r="B275" s="166"/>
      <c r="C275" s="173"/>
      <c r="D275" s="91">
        <f t="shared" ref="D275:J275" si="75">D263+D274</f>
        <v>0</v>
      </c>
      <c r="E275" s="91">
        <f t="shared" si="75"/>
        <v>0</v>
      </c>
      <c r="F275" s="91">
        <f t="shared" si="75"/>
        <v>0</v>
      </c>
      <c r="G275" s="91">
        <f t="shared" si="75"/>
        <v>0</v>
      </c>
      <c r="H275" s="91">
        <f t="shared" si="75"/>
        <v>0</v>
      </c>
      <c r="I275" s="91">
        <f t="shared" si="75"/>
        <v>0</v>
      </c>
      <c r="J275" s="91">
        <f t="shared" si="75"/>
        <v>0</v>
      </c>
      <c r="K275" s="72"/>
      <c r="L275" s="72"/>
      <c r="M275" s="72"/>
      <c r="N275" s="72"/>
      <c r="O275" s="72"/>
      <c r="P275" s="72"/>
      <c r="Q275" s="72"/>
      <c r="R275" s="72"/>
      <c r="S275" s="72"/>
      <c r="T275" s="72"/>
      <c r="U275" s="72"/>
      <c r="V275" s="72"/>
      <c r="W275" s="72"/>
    </row>
    <row r="276" spans="1:23">
      <c r="A276" s="73"/>
      <c r="B276" s="73"/>
      <c r="C276" s="74"/>
      <c r="D276" s="74"/>
      <c r="E276" s="74"/>
      <c r="F276" s="74"/>
      <c r="G276" s="74"/>
      <c r="H276" s="74"/>
      <c r="I276" s="74"/>
      <c r="J276" s="74"/>
      <c r="K276" s="72"/>
      <c r="L276" s="72"/>
      <c r="M276" s="72"/>
      <c r="N276" s="72"/>
      <c r="O276" s="72"/>
      <c r="P276" s="72"/>
      <c r="Q276" s="72"/>
      <c r="R276" s="72"/>
      <c r="S276" s="72"/>
      <c r="T276" s="72"/>
      <c r="U276" s="72"/>
      <c r="V276" s="72"/>
      <c r="W276" s="72"/>
    </row>
    <row r="277" spans="1:23">
      <c r="A277" s="166" t="s">
        <v>7</v>
      </c>
      <c r="B277" s="166"/>
      <c r="C277" s="173"/>
      <c r="D277" s="91">
        <f t="shared" ref="D277:J277" si="76">D191-D275</f>
        <v>0</v>
      </c>
      <c r="E277" s="91">
        <f t="shared" si="76"/>
        <v>0</v>
      </c>
      <c r="F277" s="91">
        <f t="shared" si="76"/>
        <v>0</v>
      </c>
      <c r="G277" s="91">
        <f t="shared" si="76"/>
        <v>0</v>
      </c>
      <c r="H277" s="91">
        <f t="shared" si="76"/>
        <v>0</v>
      </c>
      <c r="I277" s="91">
        <f t="shared" si="76"/>
        <v>0</v>
      </c>
      <c r="J277" s="91">
        <f t="shared" si="76"/>
        <v>0</v>
      </c>
      <c r="K277" s="72"/>
      <c r="L277" s="72"/>
      <c r="M277" s="72"/>
      <c r="N277" s="72"/>
      <c r="O277" s="72"/>
      <c r="P277" s="72"/>
      <c r="Q277" s="72"/>
      <c r="R277" s="72"/>
      <c r="S277" s="72"/>
      <c r="T277" s="72"/>
      <c r="U277" s="72"/>
      <c r="V277" s="72"/>
      <c r="W277" s="72"/>
    </row>
    <row r="278" spans="1:23">
      <c r="A278" s="92"/>
      <c r="B278" s="92"/>
      <c r="C278" s="92"/>
      <c r="D278" s="72"/>
      <c r="E278" s="72"/>
      <c r="F278" s="72"/>
      <c r="G278" s="72"/>
      <c r="H278" s="72"/>
      <c r="I278" s="72"/>
      <c r="J278" s="72"/>
      <c r="K278" s="72"/>
      <c r="L278" s="72"/>
      <c r="M278" s="72"/>
      <c r="N278" s="72"/>
      <c r="O278" s="72"/>
      <c r="P278" s="72"/>
      <c r="Q278" s="72"/>
      <c r="R278" s="72"/>
      <c r="S278" s="72"/>
      <c r="T278" s="72"/>
      <c r="U278" s="72"/>
      <c r="V278" s="72"/>
      <c r="W278" s="72"/>
    </row>
    <row r="279" spans="1:23">
      <c r="A279" s="72"/>
      <c r="B279" s="72"/>
      <c r="C279" s="72"/>
      <c r="D279" s="72"/>
      <c r="E279" s="72"/>
      <c r="F279" s="72"/>
      <c r="G279" s="72"/>
      <c r="H279" s="72"/>
      <c r="I279" s="72"/>
      <c r="J279" s="72"/>
      <c r="K279" s="72"/>
      <c r="L279" s="72"/>
      <c r="M279" s="72"/>
      <c r="N279" s="72"/>
      <c r="O279" s="72"/>
      <c r="P279" s="72"/>
      <c r="Q279" s="72"/>
      <c r="R279" s="72"/>
      <c r="S279" s="72"/>
      <c r="T279" s="72"/>
      <c r="U279" s="72"/>
      <c r="V279" s="72"/>
      <c r="W279" s="72"/>
    </row>
    <row r="280" spans="1:23">
      <c r="A280" s="406" t="s">
        <v>407</v>
      </c>
      <c r="B280" s="406"/>
      <c r="C280" s="406"/>
      <c r="D280" s="406"/>
      <c r="E280" s="406"/>
      <c r="F280" s="406"/>
      <c r="G280" s="406"/>
      <c r="H280" s="406"/>
      <c r="I280" s="406"/>
      <c r="J280" s="406"/>
    </row>
    <row r="282" spans="1:23">
      <c r="A282" t="s">
        <v>521</v>
      </c>
    </row>
    <row r="283" spans="1:23">
      <c r="A283">
        <v>1</v>
      </c>
      <c r="B283" t="s">
        <v>534</v>
      </c>
    </row>
    <row r="284" spans="1:23">
      <c r="A284">
        <v>2</v>
      </c>
      <c r="B284" t="s">
        <v>535</v>
      </c>
    </row>
    <row r="285" spans="1:23">
      <c r="A285">
        <v>3</v>
      </c>
      <c r="B285" s="72" t="s">
        <v>579</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view="pageBreakPreview" topLeftCell="A27" zoomScaleNormal="100" zoomScaleSheetLayoutView="100" workbookViewId="0">
      <selection activeCell="A27" sqref="A27"/>
    </sheetView>
  </sheetViews>
  <sheetFormatPr defaultRowHeight="15"/>
  <cols>
    <col min="2" max="2" width="7.5703125" bestFit="1" customWidth="1"/>
    <col min="3" max="3" width="26.28515625" bestFit="1" customWidth="1"/>
    <col min="4" max="4" width="15" customWidth="1"/>
    <col min="5" max="5" width="16" customWidth="1"/>
    <col min="6" max="6" width="24" customWidth="1"/>
    <col min="7" max="7" width="29.7109375" customWidth="1"/>
    <col min="8" max="8" width="5" hidden="1" customWidth="1"/>
  </cols>
  <sheetData>
    <row r="2" spans="1:8" ht="18.75">
      <c r="B2" s="404" t="s">
        <v>537</v>
      </c>
      <c r="C2" s="404"/>
      <c r="D2" s="404"/>
      <c r="E2" s="404"/>
      <c r="F2" s="404"/>
    </row>
    <row r="4" spans="1:8">
      <c r="B4" s="282" t="s">
        <v>145</v>
      </c>
      <c r="C4" s="282" t="s">
        <v>128</v>
      </c>
      <c r="D4" s="282" t="s">
        <v>157</v>
      </c>
      <c r="E4" s="287" t="s">
        <v>451</v>
      </c>
      <c r="F4" s="287" t="s">
        <v>452</v>
      </c>
    </row>
    <row r="5" spans="1:8">
      <c r="B5" s="283">
        <v>1</v>
      </c>
      <c r="C5" s="284" t="str">
        <f>'2.Capex Details'!B2</f>
        <v>Land and Building</v>
      </c>
      <c r="D5" s="288">
        <f>'2.Capex Details'!G11</f>
        <v>13915500</v>
      </c>
      <c r="E5" s="289">
        <v>0.6</v>
      </c>
      <c r="F5" s="290">
        <f>D5*E5</f>
        <v>8349300</v>
      </c>
    </row>
    <row r="6" spans="1:8">
      <c r="B6" s="283">
        <v>2</v>
      </c>
      <c r="C6" s="284" t="str">
        <f>'2.Capex Details'!B16</f>
        <v>Machinery and Equipment</v>
      </c>
      <c r="D6" s="288">
        <f>'2.Capex Details'!G82</f>
        <v>12597099.24</v>
      </c>
      <c r="E6" s="289">
        <v>0.6</v>
      </c>
      <c r="F6" s="290">
        <f t="shared" ref="F6:F10" si="0">D6*E6</f>
        <v>7558259.5439999998</v>
      </c>
    </row>
    <row r="7" spans="1:8">
      <c r="B7" s="283">
        <v>3</v>
      </c>
      <c r="C7" s="284" t="str">
        <f>'2.Capex Details'!B88</f>
        <v>Furniture and Fixture</v>
      </c>
      <c r="D7" s="288">
        <f>'2.Capex Details'!F109</f>
        <v>0</v>
      </c>
      <c r="E7" s="289">
        <v>0.6</v>
      </c>
      <c r="F7" s="290">
        <f t="shared" si="0"/>
        <v>0</v>
      </c>
    </row>
    <row r="8" spans="1:8">
      <c r="B8" s="283">
        <v>4</v>
      </c>
      <c r="C8" s="284" t="str">
        <f>'2.Capex Details'!B114</f>
        <v>IT &amp; It Infrastracture</v>
      </c>
      <c r="D8" s="288">
        <f>'2.Capex Details'!F143</f>
        <v>140000</v>
      </c>
      <c r="E8" s="289">
        <v>0.6</v>
      </c>
      <c r="F8" s="290">
        <f t="shared" si="0"/>
        <v>84000</v>
      </c>
    </row>
    <row r="9" spans="1:8">
      <c r="B9" s="283">
        <v>5</v>
      </c>
      <c r="C9" s="284" t="str">
        <f>'2.Capex Details'!B148</f>
        <v>Vehicle</v>
      </c>
      <c r="D9" s="288">
        <f>'2.Capex Details'!F172</f>
        <v>0</v>
      </c>
      <c r="E9" s="289">
        <v>0.6</v>
      </c>
      <c r="F9" s="290">
        <f t="shared" si="0"/>
        <v>0</v>
      </c>
    </row>
    <row r="10" spans="1:8">
      <c r="B10" s="283">
        <v>6</v>
      </c>
      <c r="C10" s="284" t="str">
        <f>'2.Capex Details'!B176</f>
        <v>Preliminary Expenses</v>
      </c>
      <c r="D10" s="288">
        <f>'2.Capex Details'!D182</f>
        <v>135000</v>
      </c>
      <c r="E10" s="289">
        <v>0.6</v>
      </c>
      <c r="F10" s="290">
        <f t="shared" si="0"/>
        <v>81000</v>
      </c>
    </row>
    <row r="11" spans="1:8">
      <c r="B11" s="283">
        <v>7</v>
      </c>
      <c r="C11" s="284" t="s">
        <v>156</v>
      </c>
      <c r="D11" s="288">
        <f>'5.Closing Stock &amp; W Capital'!E57</f>
        <v>717056.40028420207</v>
      </c>
      <c r="E11" s="291"/>
      <c r="F11" s="291"/>
    </row>
    <row r="12" spans="1:8">
      <c r="B12" s="405" t="s">
        <v>1</v>
      </c>
      <c r="C12" s="405"/>
      <c r="D12" s="292">
        <f>SUM(D5:D11)</f>
        <v>27504655.640284203</v>
      </c>
      <c r="E12" s="291"/>
      <c r="F12" s="292">
        <f>SUM(F5:F11)</f>
        <v>16072559.544</v>
      </c>
      <c r="G12" s="22"/>
    </row>
    <row r="13" spans="1:8">
      <c r="D13" s="18"/>
    </row>
    <row r="14" spans="1:8" ht="25.5" customHeight="1">
      <c r="A14" s="407" t="s">
        <v>403</v>
      </c>
      <c r="B14" s="407"/>
      <c r="C14" s="407"/>
      <c r="D14" s="407"/>
      <c r="E14" s="407"/>
      <c r="F14" s="407"/>
      <c r="H14" s="324"/>
    </row>
    <row r="16" spans="1:8" ht="18.75">
      <c r="B16" s="404" t="s">
        <v>538</v>
      </c>
      <c r="C16" s="404"/>
      <c r="D16" s="404"/>
      <c r="E16" s="404"/>
      <c r="F16" s="404"/>
    </row>
    <row r="18" spans="2:7">
      <c r="B18" s="281" t="s">
        <v>145</v>
      </c>
      <c r="C18" s="282" t="s">
        <v>128</v>
      </c>
      <c r="D18" s="282" t="s">
        <v>619</v>
      </c>
      <c r="E18" s="282" t="s">
        <v>157</v>
      </c>
    </row>
    <row r="19" spans="2:7" ht="25.5">
      <c r="B19" s="283">
        <v>1</v>
      </c>
      <c r="C19" s="284" t="s">
        <v>324</v>
      </c>
      <c r="D19" s="311"/>
      <c r="E19" s="328">
        <f>IF(F12&lt;=20000000,F12,"2,00,00,000")</f>
        <v>16072559.544</v>
      </c>
    </row>
    <row r="20" spans="2:7" ht="38.25">
      <c r="B20" s="283">
        <v>2</v>
      </c>
      <c r="C20" s="284" t="s">
        <v>685</v>
      </c>
      <c r="D20" s="322"/>
      <c r="E20" s="285">
        <f>D12-E19-E21</f>
        <v>8036279.7720000008</v>
      </c>
      <c r="G20" s="52"/>
    </row>
    <row r="21" spans="2:7" ht="25.5">
      <c r="B21" s="283">
        <v>3</v>
      </c>
      <c r="C21" s="284" t="s">
        <v>780</v>
      </c>
      <c r="D21" s="310">
        <v>0.1</v>
      </c>
      <c r="E21" s="285">
        <f>(SUM(D5:D10)*D21)+D11</f>
        <v>3395816.3242842024</v>
      </c>
    </row>
    <row r="22" spans="2:7">
      <c r="B22" s="405" t="s">
        <v>1</v>
      </c>
      <c r="C22" s="405"/>
      <c r="D22" s="286"/>
      <c r="E22" s="286">
        <f>E19+E20+E21</f>
        <v>27504655.640284203</v>
      </c>
      <c r="G22" s="22"/>
    </row>
    <row r="24" spans="2:7">
      <c r="B24" s="406" t="s">
        <v>404</v>
      </c>
      <c r="C24" s="406"/>
      <c r="D24" s="406"/>
      <c r="E24" s="406"/>
      <c r="F24" s="406"/>
    </row>
    <row r="26" spans="2:7" ht="18.75">
      <c r="B26" s="404" t="s">
        <v>539</v>
      </c>
      <c r="C26" s="404"/>
      <c r="D26" s="404"/>
      <c r="E26" s="404"/>
      <c r="F26" s="404"/>
    </row>
    <row r="27" spans="2:7" ht="30" customHeight="1">
      <c r="B27" s="294" t="s">
        <v>145</v>
      </c>
      <c r="C27" s="293" t="s">
        <v>581</v>
      </c>
      <c r="D27" s="293" t="s">
        <v>582</v>
      </c>
      <c r="E27" s="294" t="s">
        <v>583</v>
      </c>
      <c r="F27" s="294" t="s">
        <v>584</v>
      </c>
    </row>
    <row r="28" spans="2:7">
      <c r="B28" s="295">
        <v>1</v>
      </c>
      <c r="C28" s="284" t="s">
        <v>369</v>
      </c>
      <c r="D28" s="296">
        <f>'9.1 Financial indiacators'!C49</f>
        <v>0.48587942855609578</v>
      </c>
      <c r="E28" s="295" t="s">
        <v>370</v>
      </c>
      <c r="F28" s="304" t="s">
        <v>688</v>
      </c>
      <c r="G28" s="302"/>
    </row>
    <row r="29" spans="2:7" ht="25.5">
      <c r="B29" s="295">
        <v>2</v>
      </c>
      <c r="C29" s="284" t="s">
        <v>371</v>
      </c>
      <c r="D29" s="297">
        <f>'9.1 Financial indiacators'!C85</f>
        <v>0.18610755131664578</v>
      </c>
      <c r="E29" s="295" t="s">
        <v>370</v>
      </c>
      <c r="F29" s="304" t="s">
        <v>662</v>
      </c>
      <c r="G29" s="303"/>
    </row>
    <row r="30" spans="2:7" ht="25.5">
      <c r="B30" s="295">
        <v>3</v>
      </c>
      <c r="C30" s="284" t="s">
        <v>372</v>
      </c>
      <c r="D30" s="296">
        <f>'9.1 Financial indiacators'!C16</f>
        <v>0.11293176152915185</v>
      </c>
      <c r="E30" s="295" t="s">
        <v>370</v>
      </c>
      <c r="F30" s="304" t="s">
        <v>811</v>
      </c>
      <c r="G30" s="303"/>
    </row>
    <row r="31" spans="2:7" ht="56.1" customHeight="1">
      <c r="B31" s="295">
        <v>4</v>
      </c>
      <c r="C31" s="284" t="s">
        <v>373</v>
      </c>
      <c r="D31" s="298">
        <f>'9.1 Financial indiacators'!C73</f>
        <v>1442762.5851667598</v>
      </c>
      <c r="E31" s="295" t="s">
        <v>663</v>
      </c>
      <c r="F31" s="304" t="s">
        <v>585</v>
      </c>
      <c r="G31" s="303"/>
    </row>
    <row r="32" spans="2:7" ht="38.25">
      <c r="B32" s="295">
        <v>5</v>
      </c>
      <c r="C32" s="284" t="s">
        <v>374</v>
      </c>
      <c r="D32" s="299">
        <f>'9.1 Financial indiacators'!D101</f>
        <v>5.1848902031627793</v>
      </c>
      <c r="E32" s="295" t="s">
        <v>370</v>
      </c>
      <c r="F32" s="304" t="s">
        <v>690</v>
      </c>
      <c r="G32" s="303">
        <f>12*0.27</f>
        <v>3.24</v>
      </c>
    </row>
    <row r="33" spans="2:7" ht="30">
      <c r="B33" s="295">
        <v>6</v>
      </c>
      <c r="C33" s="300" t="s">
        <v>375</v>
      </c>
      <c r="D33" s="299">
        <f>'9.1 Financial indiacators'!C116</f>
        <v>2.3323884474479519</v>
      </c>
      <c r="E33" s="301" t="s">
        <v>370</v>
      </c>
      <c r="F33" s="304" t="s">
        <v>586</v>
      </c>
      <c r="G33" s="303"/>
    </row>
  </sheetData>
  <mergeCells count="7">
    <mergeCell ref="B26:F26"/>
    <mergeCell ref="B12:C12"/>
    <mergeCell ref="B22:C22"/>
    <mergeCell ref="B2:F2"/>
    <mergeCell ref="B16:F16"/>
    <mergeCell ref="B24:F24"/>
    <mergeCell ref="A14:F14"/>
  </mergeCells>
  <conditionalFormatting sqref="D23">
    <cfRule type="cellIs" dxfId="1" priority="3" operator="greaterThan">
      <formula>0</formula>
    </cfRule>
  </conditionalFormatting>
  <pageMargins left="0.7" right="0.7" top="0.75" bottom="0.75" header="0.3" footer="0.3"/>
  <pageSetup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00"/>
  <sheetViews>
    <sheetView view="pageBreakPreview" topLeftCell="A167" zoomScale="80" zoomScaleSheetLayoutView="80" workbookViewId="0">
      <selection activeCell="B180" sqref="B180"/>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04" t="s">
        <v>777</v>
      </c>
      <c r="B3" s="404"/>
      <c r="C3" s="404"/>
      <c r="D3" s="404"/>
      <c r="E3" s="404"/>
      <c r="F3" s="404"/>
      <c r="G3" s="404"/>
      <c r="H3" s="404"/>
    </row>
    <row r="4" spans="1:8" ht="18.75">
      <c r="A4" s="404" t="s">
        <v>576</v>
      </c>
      <c r="B4" s="404"/>
      <c r="C4" s="404"/>
      <c r="D4" s="404"/>
      <c r="E4" s="404"/>
      <c r="F4" s="404"/>
      <c r="G4" s="404"/>
      <c r="H4" s="404"/>
    </row>
    <row r="5" spans="1:8">
      <c r="A5" s="72" t="s">
        <v>160</v>
      </c>
      <c r="B5" s="207">
        <v>0</v>
      </c>
      <c r="C5" s="72" t="s">
        <v>457</v>
      </c>
      <c r="D5" s="72"/>
      <c r="E5" s="72"/>
      <c r="F5" s="72"/>
      <c r="G5" s="72"/>
      <c r="H5" s="72"/>
    </row>
    <row r="6" spans="1:8">
      <c r="A6" s="72" t="s">
        <v>161</v>
      </c>
      <c r="B6" s="232">
        <v>8</v>
      </c>
      <c r="C6" s="72"/>
      <c r="D6" s="72"/>
      <c r="E6" s="72"/>
      <c r="F6" s="72"/>
      <c r="G6" s="72"/>
      <c r="H6" s="72"/>
    </row>
    <row r="7" spans="1:8">
      <c r="A7" s="72"/>
      <c r="B7" s="232"/>
      <c r="C7" s="72"/>
      <c r="D7" s="72"/>
      <c r="E7" s="72"/>
      <c r="F7" s="72"/>
      <c r="G7" s="72"/>
      <c r="H7" s="72"/>
    </row>
    <row r="8" spans="1:8">
      <c r="A8" s="72"/>
      <c r="B8" s="232"/>
      <c r="C8" s="72"/>
      <c r="D8" s="72"/>
      <c r="E8" s="72"/>
      <c r="F8" s="72"/>
      <c r="G8" s="72"/>
      <c r="H8" s="72"/>
    </row>
    <row r="9" spans="1:8">
      <c r="A9" s="72"/>
      <c r="B9" s="72"/>
      <c r="C9" s="72"/>
      <c r="D9" s="72"/>
      <c r="E9" s="72"/>
      <c r="F9" s="72"/>
      <c r="G9" s="72"/>
      <c r="H9" s="72"/>
    </row>
    <row r="10" spans="1:8">
      <c r="A10" s="72"/>
      <c r="B10" s="72"/>
      <c r="C10" s="72"/>
      <c r="D10" s="72"/>
      <c r="E10" s="72"/>
      <c r="F10" s="72"/>
      <c r="G10" s="72"/>
      <c r="H10" s="72"/>
    </row>
    <row r="11" spans="1:8">
      <c r="A11" s="64" t="s">
        <v>0</v>
      </c>
      <c r="B11" s="65" t="s">
        <v>2</v>
      </c>
      <c r="C11" s="65" t="s">
        <v>3</v>
      </c>
      <c r="D11" s="65" t="s">
        <v>4</v>
      </c>
      <c r="E11" s="65" t="s">
        <v>5</v>
      </c>
      <c r="F11" s="65" t="s">
        <v>6</v>
      </c>
      <c r="G11" s="65" t="s">
        <v>168</v>
      </c>
      <c r="H11" s="65" t="s">
        <v>167</v>
      </c>
    </row>
    <row r="12" spans="1:8">
      <c r="A12" s="73" t="s">
        <v>169</v>
      </c>
      <c r="B12" s="257"/>
      <c r="C12" s="257"/>
      <c r="D12" s="257"/>
      <c r="E12" s="257"/>
      <c r="F12" s="257"/>
      <c r="G12" s="257"/>
      <c r="H12" s="257"/>
    </row>
    <row r="13" spans="1:8">
      <c r="A13" s="73" t="s">
        <v>162</v>
      </c>
      <c r="B13" s="73">
        <f>'10.Grain Production details'!B77</f>
        <v>0</v>
      </c>
      <c r="C13" s="73">
        <f>'10.Grain Production details'!C77</f>
        <v>0</v>
      </c>
      <c r="D13" s="73">
        <f>'10.Grain Production details'!D77</f>
        <v>0</v>
      </c>
      <c r="E13" s="73">
        <f>'10.Grain Production details'!E77</f>
        <v>0</v>
      </c>
      <c r="F13" s="73">
        <f>'10.Grain Production details'!F77</f>
        <v>0</v>
      </c>
      <c r="G13" s="73">
        <f>'10.Grain Production details'!G77</f>
        <v>0</v>
      </c>
      <c r="H13" s="73">
        <f>'10.Grain Production details'!H77</f>
        <v>0</v>
      </c>
    </row>
    <row r="14" spans="1:8" hidden="1">
      <c r="A14" s="73" t="str">
        <f>'11.F&amp;V Crop Production details'!A75</f>
        <v>Tomato</v>
      </c>
      <c r="B14" s="73">
        <f>'11.F&amp;V Crop Production details'!B75</f>
        <v>0</v>
      </c>
      <c r="C14" s="73">
        <f>'11.F&amp;V Crop Production details'!C75</f>
        <v>0</v>
      </c>
      <c r="D14" s="73">
        <f>'11.F&amp;V Crop Production details'!D75</f>
        <v>0</v>
      </c>
      <c r="E14" s="73">
        <f>'11.F&amp;V Crop Production details'!E75</f>
        <v>0</v>
      </c>
      <c r="F14" s="73">
        <f>'11.F&amp;V Crop Production details'!F75</f>
        <v>0</v>
      </c>
      <c r="G14" s="73">
        <f>'11.F&amp;V Crop Production details'!G75</f>
        <v>0</v>
      </c>
      <c r="H14" s="73">
        <f>'11.F&amp;V Crop Production details'!H75</f>
        <v>0</v>
      </c>
    </row>
    <row r="15" spans="1:8" hidden="1">
      <c r="A15" s="73" t="str">
        <f>'11.F&amp;V Crop Production details'!A76</f>
        <v>Okra</v>
      </c>
      <c r="B15" s="73">
        <f>'11.F&amp;V Crop Production details'!B76</f>
        <v>0</v>
      </c>
      <c r="C15" s="73">
        <f>'11.F&amp;V Crop Production details'!C76</f>
        <v>0</v>
      </c>
      <c r="D15" s="73">
        <f>'11.F&amp;V Crop Production details'!D76</f>
        <v>0</v>
      </c>
      <c r="E15" s="73">
        <f>'11.F&amp;V Crop Production details'!E76</f>
        <v>0</v>
      </c>
      <c r="F15" s="73">
        <f>'11.F&amp;V Crop Production details'!F76</f>
        <v>0</v>
      </c>
      <c r="G15" s="73">
        <f>'11.F&amp;V Crop Production details'!G76</f>
        <v>0</v>
      </c>
      <c r="H15" s="73">
        <f>'11.F&amp;V Crop Production details'!H76</f>
        <v>0</v>
      </c>
    </row>
    <row r="16" spans="1:8" hidden="1">
      <c r="A16" s="73" t="str">
        <f>'11.F&amp;V Crop Production details'!A77</f>
        <v>Chilli</v>
      </c>
      <c r="B16" s="73">
        <f>'11.F&amp;V Crop Production details'!B77</f>
        <v>0</v>
      </c>
      <c r="C16" s="73">
        <f>'11.F&amp;V Crop Production details'!C77</f>
        <v>0</v>
      </c>
      <c r="D16" s="73">
        <f>'11.F&amp;V Crop Production details'!D77</f>
        <v>0</v>
      </c>
      <c r="E16" s="73">
        <f>'11.F&amp;V Crop Production details'!E77</f>
        <v>0</v>
      </c>
      <c r="F16" s="73">
        <f>'11.F&amp;V Crop Production details'!F77</f>
        <v>0</v>
      </c>
      <c r="G16" s="73">
        <f>'11.F&amp;V Crop Production details'!G77</f>
        <v>0</v>
      </c>
      <c r="H16" s="73">
        <f>'11.F&amp;V Crop Production details'!H77</f>
        <v>0</v>
      </c>
    </row>
    <row r="17" spans="1:8" hidden="1">
      <c r="A17" s="73" t="str">
        <f>'11.F&amp;V Crop Production details'!A78</f>
        <v>Potato</v>
      </c>
      <c r="B17" s="73">
        <f>'11.F&amp;V Crop Production details'!B78</f>
        <v>0</v>
      </c>
      <c r="C17" s="73">
        <f>'11.F&amp;V Crop Production details'!C78</f>
        <v>0</v>
      </c>
      <c r="D17" s="73">
        <f>'11.F&amp;V Crop Production details'!D78</f>
        <v>0</v>
      </c>
      <c r="E17" s="73">
        <f>'11.F&amp;V Crop Production details'!E78</f>
        <v>0</v>
      </c>
      <c r="F17" s="73">
        <f>'11.F&amp;V Crop Production details'!F78</f>
        <v>0</v>
      </c>
      <c r="G17" s="73">
        <f>'11.F&amp;V Crop Production details'!G78</f>
        <v>0</v>
      </c>
      <c r="H17" s="73">
        <f>'11.F&amp;V Crop Production details'!H78</f>
        <v>0</v>
      </c>
    </row>
    <row r="18" spans="1:8" hidden="1">
      <c r="A18" s="73">
        <f>'11.F&amp;V Crop Production details'!A79</f>
        <v>0</v>
      </c>
      <c r="B18" s="73">
        <f>'11.F&amp;V Crop Production details'!B79</f>
        <v>0</v>
      </c>
      <c r="C18" s="73">
        <f>'11.F&amp;V Crop Production details'!C79</f>
        <v>0</v>
      </c>
      <c r="D18" s="73">
        <f>'11.F&amp;V Crop Production details'!D79</f>
        <v>0</v>
      </c>
      <c r="E18" s="73">
        <f>'11.F&amp;V Crop Production details'!E79</f>
        <v>0</v>
      </c>
      <c r="F18" s="73">
        <f>'11.F&amp;V Crop Production details'!F79</f>
        <v>0</v>
      </c>
      <c r="G18" s="73">
        <f>'11.F&amp;V Crop Production details'!G79</f>
        <v>0</v>
      </c>
      <c r="H18" s="73">
        <f>'11.F&amp;V Crop Production details'!H79</f>
        <v>0</v>
      </c>
    </row>
    <row r="19" spans="1:8" hidden="1">
      <c r="A19" s="73">
        <f>'11.F&amp;V Crop Production details'!A80</f>
        <v>0</v>
      </c>
      <c r="B19" s="73">
        <f>'11.F&amp;V Crop Production details'!B80</f>
        <v>0</v>
      </c>
      <c r="C19" s="73">
        <f>'11.F&amp;V Crop Production details'!C80</f>
        <v>0</v>
      </c>
      <c r="D19" s="73">
        <f>'11.F&amp;V Crop Production details'!D80</f>
        <v>0</v>
      </c>
      <c r="E19" s="73">
        <f>'11.F&amp;V Crop Production details'!E80</f>
        <v>0</v>
      </c>
      <c r="F19" s="73">
        <f>'11.F&amp;V Crop Production details'!F80</f>
        <v>0</v>
      </c>
      <c r="G19" s="73">
        <f>'11.F&amp;V Crop Production details'!G80</f>
        <v>0</v>
      </c>
      <c r="H19" s="73">
        <f>'11.F&amp;V Crop Production details'!H80</f>
        <v>0</v>
      </c>
    </row>
    <row r="20" spans="1:8" hidden="1">
      <c r="A20" s="73">
        <f>'11.F&amp;V Crop Production details'!A81</f>
        <v>0</v>
      </c>
      <c r="B20" s="73">
        <f>'11.F&amp;V Crop Production details'!B81</f>
        <v>0</v>
      </c>
      <c r="C20" s="73">
        <f>'11.F&amp;V Crop Production details'!C81</f>
        <v>0</v>
      </c>
      <c r="D20" s="73">
        <f>'11.F&amp;V Crop Production details'!D81</f>
        <v>0</v>
      </c>
      <c r="E20" s="73">
        <f>'11.F&amp;V Crop Production details'!E81</f>
        <v>0</v>
      </c>
      <c r="F20" s="73">
        <f>'11.F&amp;V Crop Production details'!F81</f>
        <v>0</v>
      </c>
      <c r="G20" s="73">
        <f>'11.F&amp;V Crop Production details'!G81</f>
        <v>0</v>
      </c>
      <c r="H20" s="73">
        <f>'11.F&amp;V Crop Production details'!H81</f>
        <v>0</v>
      </c>
    </row>
    <row r="21" spans="1:8" hidden="1">
      <c r="A21" s="73">
        <f>'11.F&amp;V Crop Production details'!A82</f>
        <v>0</v>
      </c>
      <c r="B21" s="73">
        <f>'11.F&amp;V Crop Production details'!B82</f>
        <v>0</v>
      </c>
      <c r="C21" s="73">
        <f>'11.F&amp;V Crop Production details'!C82</f>
        <v>0</v>
      </c>
      <c r="D21" s="73">
        <f>'11.F&amp;V Crop Production details'!D82</f>
        <v>0</v>
      </c>
      <c r="E21" s="73">
        <f>'11.F&amp;V Crop Production details'!E82</f>
        <v>0</v>
      </c>
      <c r="F21" s="73">
        <f>'11.F&amp;V Crop Production details'!F82</f>
        <v>0</v>
      </c>
      <c r="G21" s="73">
        <f>'11.F&amp;V Crop Production details'!G82</f>
        <v>0</v>
      </c>
      <c r="H21" s="73">
        <f>'11.F&amp;V Crop Production details'!H82</f>
        <v>0</v>
      </c>
    </row>
    <row r="22" spans="1:8" hidden="1">
      <c r="A22" s="73" t="str">
        <f>'11.F&amp;V Crop Production details'!A83</f>
        <v>Onion</v>
      </c>
      <c r="B22" s="73">
        <f>'11.F&amp;V Crop Production details'!B83</f>
        <v>0</v>
      </c>
      <c r="C22" s="73">
        <f>'11.F&amp;V Crop Production details'!C83</f>
        <v>0</v>
      </c>
      <c r="D22" s="73">
        <f>'11.F&amp;V Crop Production details'!D83</f>
        <v>0</v>
      </c>
      <c r="E22" s="73">
        <f>'11.F&amp;V Crop Production details'!E83</f>
        <v>0</v>
      </c>
      <c r="F22" s="73">
        <f>'11.F&amp;V Crop Production details'!F83</f>
        <v>0</v>
      </c>
      <c r="G22" s="73">
        <f>'11.F&amp;V Crop Production details'!G83</f>
        <v>0</v>
      </c>
      <c r="H22" s="73">
        <f>'11.F&amp;V Crop Production details'!H83</f>
        <v>0</v>
      </c>
    </row>
    <row r="23" spans="1:8" hidden="1">
      <c r="A23" s="73" t="str">
        <f>'11.F&amp;V Crop Production details'!A84</f>
        <v>Tomato</v>
      </c>
      <c r="B23" s="73">
        <f>'11.F&amp;V Crop Production details'!B84</f>
        <v>0</v>
      </c>
      <c r="C23" s="73">
        <f>'11.F&amp;V Crop Production details'!C84</f>
        <v>0</v>
      </c>
      <c r="D23" s="73">
        <f>'11.F&amp;V Crop Production details'!D84</f>
        <v>0</v>
      </c>
      <c r="E23" s="73">
        <f>'11.F&amp;V Crop Production details'!E84</f>
        <v>0</v>
      </c>
      <c r="F23" s="73">
        <f>'11.F&amp;V Crop Production details'!F84</f>
        <v>0</v>
      </c>
      <c r="G23" s="73">
        <f>'11.F&amp;V Crop Production details'!G84</f>
        <v>0</v>
      </c>
      <c r="H23" s="73">
        <f>'11.F&amp;V Crop Production details'!H84</f>
        <v>0</v>
      </c>
    </row>
    <row r="24" spans="1:8" hidden="1">
      <c r="A24" s="73" t="str">
        <f>'11.F&amp;V Crop Production details'!A85</f>
        <v>Okra</v>
      </c>
      <c r="B24" s="73">
        <f>'11.F&amp;V Crop Production details'!B85</f>
        <v>0</v>
      </c>
      <c r="C24" s="73">
        <f>'11.F&amp;V Crop Production details'!C85</f>
        <v>0</v>
      </c>
      <c r="D24" s="73">
        <f>'11.F&amp;V Crop Production details'!D85</f>
        <v>0</v>
      </c>
      <c r="E24" s="73">
        <f>'11.F&amp;V Crop Production details'!E85</f>
        <v>0</v>
      </c>
      <c r="F24" s="73">
        <f>'11.F&amp;V Crop Production details'!F85</f>
        <v>0</v>
      </c>
      <c r="G24" s="73">
        <f>'11.F&amp;V Crop Production details'!G85</f>
        <v>0</v>
      </c>
      <c r="H24" s="73">
        <f>'11.F&amp;V Crop Production details'!H85</f>
        <v>0</v>
      </c>
    </row>
    <row r="25" spans="1:8" hidden="1">
      <c r="A25" s="73" t="str">
        <f>'11.F&amp;V Crop Production details'!A86</f>
        <v>Chilli</v>
      </c>
      <c r="B25" s="73">
        <f>'11.F&amp;V Crop Production details'!B86</f>
        <v>0</v>
      </c>
      <c r="C25" s="73">
        <f>'11.F&amp;V Crop Production details'!C86</f>
        <v>0</v>
      </c>
      <c r="D25" s="73">
        <f>'11.F&amp;V Crop Production details'!D86</f>
        <v>0</v>
      </c>
      <c r="E25" s="73">
        <f>'11.F&amp;V Crop Production details'!E86</f>
        <v>0</v>
      </c>
      <c r="F25" s="73">
        <f>'11.F&amp;V Crop Production details'!F86</f>
        <v>0</v>
      </c>
      <c r="G25" s="73">
        <f>'11.F&amp;V Crop Production details'!G86</f>
        <v>0</v>
      </c>
      <c r="H25" s="73">
        <f>'11.F&amp;V Crop Production details'!H86</f>
        <v>0</v>
      </c>
    </row>
    <row r="26" spans="1:8" hidden="1">
      <c r="A26" s="73" t="str">
        <f>'11.F&amp;V Crop Production details'!A87</f>
        <v>Brinjal</v>
      </c>
      <c r="B26" s="73">
        <f>'11.F&amp;V Crop Production details'!B87</f>
        <v>0</v>
      </c>
      <c r="C26" s="73">
        <f>'11.F&amp;V Crop Production details'!C87</f>
        <v>0</v>
      </c>
      <c r="D26" s="73">
        <f>'11.F&amp;V Crop Production details'!D87</f>
        <v>0</v>
      </c>
      <c r="E26" s="73">
        <f>'11.F&amp;V Crop Production details'!E87</f>
        <v>0</v>
      </c>
      <c r="F26" s="73">
        <f>'11.F&amp;V Crop Production details'!F87</f>
        <v>0</v>
      </c>
      <c r="G26" s="73">
        <f>'11.F&amp;V Crop Production details'!G87</f>
        <v>0</v>
      </c>
      <c r="H26" s="73">
        <f>'11.F&amp;V Crop Production details'!H87</f>
        <v>0</v>
      </c>
    </row>
    <row r="27" spans="1:8" hidden="1">
      <c r="A27" s="73">
        <f>'11.F&amp;V Crop Production details'!A88</f>
        <v>0</v>
      </c>
      <c r="B27" s="73">
        <f>'11.F&amp;V Crop Production details'!B88</f>
        <v>0</v>
      </c>
      <c r="C27" s="73">
        <f>'11.F&amp;V Crop Production details'!C88</f>
        <v>0</v>
      </c>
      <c r="D27" s="73">
        <f>'11.F&amp;V Crop Production details'!D88</f>
        <v>0</v>
      </c>
      <c r="E27" s="73">
        <f>'11.F&amp;V Crop Production details'!E88</f>
        <v>0</v>
      </c>
      <c r="F27" s="73">
        <f>'11.F&amp;V Crop Production details'!F88</f>
        <v>0</v>
      </c>
      <c r="G27" s="73">
        <f>'11.F&amp;V Crop Production details'!G88</f>
        <v>0</v>
      </c>
      <c r="H27" s="73">
        <f>'11.F&amp;V Crop Production details'!H88</f>
        <v>0</v>
      </c>
    </row>
    <row r="28" spans="1:8" hidden="1">
      <c r="A28" s="73">
        <f>'11.F&amp;V Crop Production details'!A89</f>
        <v>0</v>
      </c>
      <c r="B28" s="73">
        <f>'11.F&amp;V Crop Production details'!B89</f>
        <v>0</v>
      </c>
      <c r="C28" s="73">
        <f>'11.F&amp;V Crop Production details'!C89</f>
        <v>0</v>
      </c>
      <c r="D28" s="73">
        <f>'11.F&amp;V Crop Production details'!D89</f>
        <v>0</v>
      </c>
      <c r="E28" s="73">
        <f>'11.F&amp;V Crop Production details'!E89</f>
        <v>0</v>
      </c>
      <c r="F28" s="73">
        <f>'11.F&amp;V Crop Production details'!F89</f>
        <v>0</v>
      </c>
      <c r="G28" s="73">
        <f>'11.F&amp;V Crop Production details'!G89</f>
        <v>0</v>
      </c>
      <c r="H28" s="73">
        <f>'11.F&amp;V Crop Production details'!H89</f>
        <v>0</v>
      </c>
    </row>
    <row r="29" spans="1:8" hidden="1">
      <c r="A29" s="73">
        <f>'11.F&amp;V Crop Production details'!A90</f>
        <v>0</v>
      </c>
      <c r="B29" s="73">
        <f>'11.F&amp;V Crop Production details'!B90</f>
        <v>0</v>
      </c>
      <c r="C29" s="73">
        <f>'11.F&amp;V Crop Production details'!C90</f>
        <v>0</v>
      </c>
      <c r="D29" s="73">
        <f>'11.F&amp;V Crop Production details'!D90</f>
        <v>0</v>
      </c>
      <c r="E29" s="73">
        <f>'11.F&amp;V Crop Production details'!E90</f>
        <v>0</v>
      </c>
      <c r="F29" s="73">
        <f>'11.F&amp;V Crop Production details'!F90</f>
        <v>0</v>
      </c>
      <c r="G29" s="73">
        <f>'11.F&amp;V Crop Production details'!G90</f>
        <v>0</v>
      </c>
      <c r="H29" s="73">
        <f>'11.F&amp;V Crop Production details'!H90</f>
        <v>0</v>
      </c>
    </row>
    <row r="30" spans="1:8" hidden="1">
      <c r="A30" s="73">
        <f>'11.F&amp;V Crop Production details'!A91</f>
        <v>0</v>
      </c>
      <c r="B30" s="73">
        <f>'11.F&amp;V Crop Production details'!B91</f>
        <v>0</v>
      </c>
      <c r="C30" s="73">
        <f>'11.F&amp;V Crop Production details'!C91</f>
        <v>0</v>
      </c>
      <c r="D30" s="73">
        <f>'11.F&amp;V Crop Production details'!D91</f>
        <v>0</v>
      </c>
      <c r="E30" s="73">
        <f>'11.F&amp;V Crop Production details'!E91</f>
        <v>0</v>
      </c>
      <c r="F30" s="73">
        <f>'11.F&amp;V Crop Production details'!F91</f>
        <v>0</v>
      </c>
      <c r="G30" s="73">
        <f>'11.F&amp;V Crop Production details'!G91</f>
        <v>0</v>
      </c>
      <c r="H30" s="73">
        <f>'11.F&amp;V Crop Production details'!H91</f>
        <v>0</v>
      </c>
    </row>
    <row r="31" spans="1:8" hidden="1">
      <c r="A31" s="73">
        <f>'11.F&amp;V Crop Production details'!A92</f>
        <v>0</v>
      </c>
      <c r="B31" s="73">
        <f>'11.F&amp;V Crop Production details'!B92</f>
        <v>0</v>
      </c>
      <c r="C31" s="73">
        <f>'11.F&amp;V Crop Production details'!C92</f>
        <v>0</v>
      </c>
      <c r="D31" s="73">
        <f>'11.F&amp;V Crop Production details'!D92</f>
        <v>0</v>
      </c>
      <c r="E31" s="73">
        <f>'11.F&amp;V Crop Production details'!E92</f>
        <v>0</v>
      </c>
      <c r="F31" s="73">
        <f>'11.F&amp;V Crop Production details'!F92</f>
        <v>0</v>
      </c>
      <c r="G31" s="73">
        <f>'11.F&amp;V Crop Production details'!G92</f>
        <v>0</v>
      </c>
      <c r="H31" s="73">
        <f>'11.F&amp;V Crop Production details'!H92</f>
        <v>0</v>
      </c>
    </row>
    <row r="32" spans="1:8" hidden="1">
      <c r="A32" s="73">
        <f>'11.F&amp;V Crop Production details'!A93</f>
        <v>0</v>
      </c>
      <c r="B32" s="73">
        <f>'11.F&amp;V Crop Production details'!B93</f>
        <v>0</v>
      </c>
      <c r="C32" s="73">
        <f>'11.F&amp;V Crop Production details'!C93</f>
        <v>0</v>
      </c>
      <c r="D32" s="73">
        <f>'11.F&amp;V Crop Production details'!D93</f>
        <v>0</v>
      </c>
      <c r="E32" s="73">
        <f>'11.F&amp;V Crop Production details'!E93</f>
        <v>0</v>
      </c>
      <c r="F32" s="73">
        <f>'11.F&amp;V Crop Production details'!F93</f>
        <v>0</v>
      </c>
      <c r="G32" s="73">
        <f>'11.F&amp;V Crop Production details'!G93</f>
        <v>0</v>
      </c>
      <c r="H32" s="73">
        <f>'11.F&amp;V Crop Production details'!H93</f>
        <v>0</v>
      </c>
    </row>
    <row r="33" spans="1:8" hidden="1">
      <c r="A33" s="73">
        <f>'11.F&amp;V Crop Production details'!A94</f>
        <v>0</v>
      </c>
      <c r="B33" s="73">
        <f>'11.F&amp;V Crop Production details'!B94</f>
        <v>0</v>
      </c>
      <c r="C33" s="73">
        <f>'11.F&amp;V Crop Production details'!C94</f>
        <v>0</v>
      </c>
      <c r="D33" s="73">
        <f>'11.F&amp;V Crop Production details'!D94</f>
        <v>0</v>
      </c>
      <c r="E33" s="73">
        <f>'11.F&amp;V Crop Production details'!E94</f>
        <v>0</v>
      </c>
      <c r="F33" s="73">
        <f>'11.F&amp;V Crop Production details'!F94</f>
        <v>0</v>
      </c>
      <c r="G33" s="73">
        <f>'11.F&amp;V Crop Production details'!G94</f>
        <v>0</v>
      </c>
      <c r="H33" s="73">
        <f>'11.F&amp;V Crop Production details'!H94</f>
        <v>0</v>
      </c>
    </row>
    <row r="34" spans="1:8" hidden="1">
      <c r="A34" s="73" t="str">
        <f>'11.F&amp;V Crop Production details'!A95</f>
        <v>Pomegranate</v>
      </c>
      <c r="B34" s="73">
        <f>'11.F&amp;V Crop Production details'!B95</f>
        <v>0</v>
      </c>
      <c r="C34" s="73">
        <f>'11.F&amp;V Crop Production details'!C95</f>
        <v>0</v>
      </c>
      <c r="D34" s="73">
        <f>'11.F&amp;V Crop Production details'!D95</f>
        <v>0</v>
      </c>
      <c r="E34" s="73">
        <f>'11.F&amp;V Crop Production details'!E95</f>
        <v>0</v>
      </c>
      <c r="F34" s="73">
        <f>'11.F&amp;V Crop Production details'!F95</f>
        <v>0</v>
      </c>
      <c r="G34" s="73">
        <f>'11.F&amp;V Crop Production details'!G95</f>
        <v>0</v>
      </c>
      <c r="H34" s="73">
        <f>'11.F&amp;V Crop Production details'!H95</f>
        <v>0</v>
      </c>
    </row>
    <row r="35" spans="1:8" hidden="1">
      <c r="A35" s="73" t="str">
        <f>'11.F&amp;V Crop Production details'!A96</f>
        <v>Custard Apple</v>
      </c>
      <c r="B35" s="73">
        <f>'11.F&amp;V Crop Production details'!B96</f>
        <v>0</v>
      </c>
      <c r="C35" s="73">
        <f>'11.F&amp;V Crop Production details'!C96</f>
        <v>0</v>
      </c>
      <c r="D35" s="73">
        <f>'11.F&amp;V Crop Production details'!D96</f>
        <v>0</v>
      </c>
      <c r="E35" s="73">
        <f>'11.F&amp;V Crop Production details'!E96</f>
        <v>0</v>
      </c>
      <c r="F35" s="73">
        <f>'11.F&amp;V Crop Production details'!F96</f>
        <v>0</v>
      </c>
      <c r="G35" s="73">
        <f>'11.F&amp;V Crop Production details'!G96</f>
        <v>0</v>
      </c>
      <c r="H35" s="73">
        <f>'11.F&amp;V Crop Production details'!H96</f>
        <v>0</v>
      </c>
    </row>
    <row r="36" spans="1:8" hidden="1">
      <c r="A36" s="73" t="str">
        <f>'11.F&amp;V Crop Production details'!A97</f>
        <v>Guava</v>
      </c>
      <c r="B36" s="73">
        <f>'11.F&amp;V Crop Production details'!B97</f>
        <v>0</v>
      </c>
      <c r="C36" s="73">
        <f>'11.F&amp;V Crop Production details'!C97</f>
        <v>0</v>
      </c>
      <c r="D36" s="73">
        <f>'11.F&amp;V Crop Production details'!D97</f>
        <v>0</v>
      </c>
      <c r="E36" s="73">
        <f>'11.F&amp;V Crop Production details'!E97</f>
        <v>0</v>
      </c>
      <c r="F36" s="73">
        <f>'11.F&amp;V Crop Production details'!F97</f>
        <v>0</v>
      </c>
      <c r="G36" s="73">
        <f>'11.F&amp;V Crop Production details'!G97</f>
        <v>0</v>
      </c>
      <c r="H36" s="73">
        <f>'11.F&amp;V Crop Production details'!H97</f>
        <v>0</v>
      </c>
    </row>
    <row r="37" spans="1:8" hidden="1">
      <c r="A37" s="73" t="str">
        <f>'11.F&amp;V Crop Production details'!A98</f>
        <v>Citrus</v>
      </c>
      <c r="B37" s="73">
        <f>'11.F&amp;V Crop Production details'!B98</f>
        <v>0</v>
      </c>
      <c r="C37" s="73">
        <f>'11.F&amp;V Crop Production details'!C98</f>
        <v>0</v>
      </c>
      <c r="D37" s="73">
        <f>'11.F&amp;V Crop Production details'!D98</f>
        <v>0</v>
      </c>
      <c r="E37" s="73">
        <f>'11.F&amp;V Crop Production details'!E98</f>
        <v>0</v>
      </c>
      <c r="F37" s="73">
        <f>'11.F&amp;V Crop Production details'!F98</f>
        <v>0</v>
      </c>
      <c r="G37" s="73">
        <f>'11.F&amp;V Crop Production details'!G98</f>
        <v>0</v>
      </c>
      <c r="H37" s="73">
        <f>'11.F&amp;V Crop Production details'!H98</f>
        <v>0</v>
      </c>
    </row>
    <row r="38" spans="1:8">
      <c r="A38" s="73"/>
      <c r="B38" s="73"/>
      <c r="C38" s="73"/>
      <c r="D38" s="73"/>
      <c r="E38" s="73"/>
      <c r="F38" s="73"/>
      <c r="G38" s="73"/>
      <c r="H38" s="73"/>
    </row>
    <row r="39" spans="1:8">
      <c r="A39" s="73" t="s">
        <v>448</v>
      </c>
      <c r="B39" s="73">
        <f>SUM(B13:B37)</f>
        <v>0</v>
      </c>
      <c r="C39" s="73">
        <f t="shared" ref="C39:H39" si="0">SUM(C13:C37)</f>
        <v>0</v>
      </c>
      <c r="D39" s="73">
        <f t="shared" si="0"/>
        <v>0</v>
      </c>
      <c r="E39" s="73">
        <f t="shared" si="0"/>
        <v>0</v>
      </c>
      <c r="F39" s="73">
        <f t="shared" si="0"/>
        <v>0</v>
      </c>
      <c r="G39" s="73">
        <f t="shared" si="0"/>
        <v>0</v>
      </c>
      <c r="H39" s="73">
        <f t="shared" si="0"/>
        <v>0</v>
      </c>
    </row>
    <row r="40" spans="1:8">
      <c r="A40" s="262" t="s">
        <v>164</v>
      </c>
      <c r="B40" s="233">
        <v>0.9</v>
      </c>
      <c r="C40" s="233">
        <f>B40</f>
        <v>0.9</v>
      </c>
      <c r="D40" s="233">
        <f t="shared" ref="D40:H40" si="1">C40</f>
        <v>0.9</v>
      </c>
      <c r="E40" s="233">
        <f t="shared" si="1"/>
        <v>0.9</v>
      </c>
      <c r="F40" s="233">
        <f t="shared" si="1"/>
        <v>0.9</v>
      </c>
      <c r="G40" s="233">
        <f t="shared" si="1"/>
        <v>0.9</v>
      </c>
      <c r="H40" s="233">
        <f t="shared" si="1"/>
        <v>0.9</v>
      </c>
    </row>
    <row r="41" spans="1:8">
      <c r="A41" s="73" t="s">
        <v>458</v>
      </c>
      <c r="B41" s="160">
        <f>1-B40</f>
        <v>9.9999999999999978E-2</v>
      </c>
      <c r="C41" s="160">
        <f t="shared" ref="C41:H41" si="2">1-C40</f>
        <v>9.9999999999999978E-2</v>
      </c>
      <c r="D41" s="160">
        <f t="shared" si="2"/>
        <v>9.9999999999999978E-2</v>
      </c>
      <c r="E41" s="160">
        <f t="shared" si="2"/>
        <v>9.9999999999999978E-2</v>
      </c>
      <c r="F41" s="160">
        <f t="shared" si="2"/>
        <v>9.9999999999999978E-2</v>
      </c>
      <c r="G41" s="160">
        <f t="shared" si="2"/>
        <v>9.9999999999999978E-2</v>
      </c>
      <c r="H41" s="160">
        <f t="shared" si="2"/>
        <v>9.9999999999999978E-2</v>
      </c>
    </row>
    <row r="42" spans="1:8">
      <c r="A42" s="75" t="s">
        <v>164</v>
      </c>
      <c r="B42" s="218">
        <f>B39*B40</f>
        <v>0</v>
      </c>
      <c r="C42" s="218">
        <f t="shared" ref="C42:H42" si="3">C39*C40</f>
        <v>0</v>
      </c>
      <c r="D42" s="218">
        <f t="shared" si="3"/>
        <v>0</v>
      </c>
      <c r="E42" s="218">
        <f t="shared" si="3"/>
        <v>0</v>
      </c>
      <c r="F42" s="218">
        <f t="shared" si="3"/>
        <v>0</v>
      </c>
      <c r="G42" s="218">
        <f t="shared" si="3"/>
        <v>0</v>
      </c>
      <c r="H42" s="218">
        <f t="shared" si="3"/>
        <v>0</v>
      </c>
    </row>
    <row r="43" spans="1:8">
      <c r="A43" s="75" t="s">
        <v>165</v>
      </c>
      <c r="B43" s="91"/>
      <c r="C43" s="91"/>
      <c r="D43" s="91"/>
      <c r="E43" s="91"/>
      <c r="F43" s="91"/>
      <c r="G43" s="91"/>
      <c r="H43" s="91"/>
    </row>
    <row r="44" spans="1:8">
      <c r="A44" s="73" t="str">
        <f t="shared" ref="A44:A61" si="4">A13</f>
        <v>Bengal Gram</v>
      </c>
      <c r="B44" s="74">
        <f t="shared" ref="B44:B61" si="5">B13*$B$41</f>
        <v>0</v>
      </c>
      <c r="C44" s="74">
        <f t="shared" ref="C44:C61" si="6">C13*$C$41</f>
        <v>0</v>
      </c>
      <c r="D44" s="74">
        <f t="shared" ref="D44:D61" si="7">D13*$D$41</f>
        <v>0</v>
      </c>
      <c r="E44" s="74">
        <f t="shared" ref="E44:E61" si="8">E13*$E$41</f>
        <v>0</v>
      </c>
      <c r="F44" s="74">
        <f t="shared" ref="F44:F61" si="9">F13*$F$41</f>
        <v>0</v>
      </c>
      <c r="G44" s="74">
        <f t="shared" ref="G44:G61" si="10">G13*$G$41</f>
        <v>0</v>
      </c>
      <c r="H44" s="74">
        <f t="shared" ref="H44:H61" si="11">H13*$H$41</f>
        <v>0</v>
      </c>
    </row>
    <row r="45" spans="1:8" hidden="1">
      <c r="A45" s="73" t="str">
        <f t="shared" si="4"/>
        <v>Tomato</v>
      </c>
      <c r="B45" s="74">
        <f t="shared" si="5"/>
        <v>0</v>
      </c>
      <c r="C45" s="74">
        <f t="shared" si="6"/>
        <v>0</v>
      </c>
      <c r="D45" s="74">
        <f t="shared" si="7"/>
        <v>0</v>
      </c>
      <c r="E45" s="74">
        <f t="shared" si="8"/>
        <v>0</v>
      </c>
      <c r="F45" s="74">
        <f t="shared" si="9"/>
        <v>0</v>
      </c>
      <c r="G45" s="74">
        <f t="shared" si="10"/>
        <v>0</v>
      </c>
      <c r="H45" s="74">
        <f t="shared" si="11"/>
        <v>0</v>
      </c>
    </row>
    <row r="46" spans="1:8" hidden="1">
      <c r="A46" s="73" t="str">
        <f t="shared" si="4"/>
        <v>Okra</v>
      </c>
      <c r="B46" s="74">
        <f t="shared" si="5"/>
        <v>0</v>
      </c>
      <c r="C46" s="74">
        <f t="shared" si="6"/>
        <v>0</v>
      </c>
      <c r="D46" s="74">
        <f t="shared" si="7"/>
        <v>0</v>
      </c>
      <c r="E46" s="74">
        <f t="shared" si="8"/>
        <v>0</v>
      </c>
      <c r="F46" s="74">
        <f t="shared" si="9"/>
        <v>0</v>
      </c>
      <c r="G46" s="74">
        <f t="shared" si="10"/>
        <v>0</v>
      </c>
      <c r="H46" s="74">
        <f t="shared" si="11"/>
        <v>0</v>
      </c>
    </row>
    <row r="47" spans="1:8" hidden="1">
      <c r="A47" s="73" t="str">
        <f t="shared" si="4"/>
        <v>Chilli</v>
      </c>
      <c r="B47" s="74">
        <f t="shared" si="5"/>
        <v>0</v>
      </c>
      <c r="C47" s="74">
        <f t="shared" si="6"/>
        <v>0</v>
      </c>
      <c r="D47" s="74">
        <f t="shared" si="7"/>
        <v>0</v>
      </c>
      <c r="E47" s="74">
        <f t="shared" si="8"/>
        <v>0</v>
      </c>
      <c r="F47" s="74">
        <f t="shared" si="9"/>
        <v>0</v>
      </c>
      <c r="G47" s="74">
        <f t="shared" si="10"/>
        <v>0</v>
      </c>
      <c r="H47" s="74">
        <f t="shared" si="11"/>
        <v>0</v>
      </c>
    </row>
    <row r="48" spans="1:8" hidden="1">
      <c r="A48" s="73" t="str">
        <f t="shared" si="4"/>
        <v>Potato</v>
      </c>
      <c r="B48" s="74">
        <f t="shared" si="5"/>
        <v>0</v>
      </c>
      <c r="C48" s="74">
        <f t="shared" si="6"/>
        <v>0</v>
      </c>
      <c r="D48" s="74">
        <f t="shared" si="7"/>
        <v>0</v>
      </c>
      <c r="E48" s="74">
        <f t="shared" si="8"/>
        <v>0</v>
      </c>
      <c r="F48" s="74">
        <f t="shared" si="9"/>
        <v>0</v>
      </c>
      <c r="G48" s="74">
        <f t="shared" si="10"/>
        <v>0</v>
      </c>
      <c r="H48" s="74">
        <f t="shared" si="11"/>
        <v>0</v>
      </c>
    </row>
    <row r="49" spans="1:8" hidden="1">
      <c r="A49" s="73">
        <f t="shared" si="4"/>
        <v>0</v>
      </c>
      <c r="B49" s="74">
        <f t="shared" si="5"/>
        <v>0</v>
      </c>
      <c r="C49" s="74">
        <f t="shared" si="6"/>
        <v>0</v>
      </c>
      <c r="D49" s="74">
        <f t="shared" si="7"/>
        <v>0</v>
      </c>
      <c r="E49" s="74">
        <f t="shared" si="8"/>
        <v>0</v>
      </c>
      <c r="F49" s="74">
        <f t="shared" si="9"/>
        <v>0</v>
      </c>
      <c r="G49" s="74">
        <f t="shared" si="10"/>
        <v>0</v>
      </c>
      <c r="H49" s="74">
        <f t="shared" si="11"/>
        <v>0</v>
      </c>
    </row>
    <row r="50" spans="1:8" hidden="1">
      <c r="A50" s="73">
        <f t="shared" si="4"/>
        <v>0</v>
      </c>
      <c r="B50" s="74">
        <f t="shared" si="5"/>
        <v>0</v>
      </c>
      <c r="C50" s="74">
        <f t="shared" si="6"/>
        <v>0</v>
      </c>
      <c r="D50" s="74">
        <f t="shared" si="7"/>
        <v>0</v>
      </c>
      <c r="E50" s="74">
        <f t="shared" si="8"/>
        <v>0</v>
      </c>
      <c r="F50" s="74">
        <f t="shared" si="9"/>
        <v>0</v>
      </c>
      <c r="G50" s="74">
        <f t="shared" si="10"/>
        <v>0</v>
      </c>
      <c r="H50" s="74">
        <f t="shared" si="11"/>
        <v>0</v>
      </c>
    </row>
    <row r="51" spans="1:8" hidden="1">
      <c r="A51" s="73">
        <f t="shared" si="4"/>
        <v>0</v>
      </c>
      <c r="B51" s="74">
        <f t="shared" si="5"/>
        <v>0</v>
      </c>
      <c r="C51" s="74">
        <f t="shared" si="6"/>
        <v>0</v>
      </c>
      <c r="D51" s="74">
        <f t="shared" si="7"/>
        <v>0</v>
      </c>
      <c r="E51" s="74">
        <f t="shared" si="8"/>
        <v>0</v>
      </c>
      <c r="F51" s="74">
        <f t="shared" si="9"/>
        <v>0</v>
      </c>
      <c r="G51" s="74">
        <f t="shared" si="10"/>
        <v>0</v>
      </c>
      <c r="H51" s="74">
        <f t="shared" si="11"/>
        <v>0</v>
      </c>
    </row>
    <row r="52" spans="1:8" hidden="1">
      <c r="A52" s="73">
        <f t="shared" si="4"/>
        <v>0</v>
      </c>
      <c r="B52" s="74">
        <f t="shared" si="5"/>
        <v>0</v>
      </c>
      <c r="C52" s="74">
        <f t="shared" si="6"/>
        <v>0</v>
      </c>
      <c r="D52" s="74">
        <f t="shared" si="7"/>
        <v>0</v>
      </c>
      <c r="E52" s="74">
        <f t="shared" si="8"/>
        <v>0</v>
      </c>
      <c r="F52" s="74">
        <f t="shared" si="9"/>
        <v>0</v>
      </c>
      <c r="G52" s="74">
        <f t="shared" si="10"/>
        <v>0</v>
      </c>
      <c r="H52" s="74">
        <f t="shared" si="11"/>
        <v>0</v>
      </c>
    </row>
    <row r="53" spans="1:8" hidden="1">
      <c r="A53" s="73" t="str">
        <f t="shared" si="4"/>
        <v>Onion</v>
      </c>
      <c r="B53" s="74">
        <f t="shared" si="5"/>
        <v>0</v>
      </c>
      <c r="C53" s="74">
        <f t="shared" si="6"/>
        <v>0</v>
      </c>
      <c r="D53" s="74">
        <f t="shared" si="7"/>
        <v>0</v>
      </c>
      <c r="E53" s="74">
        <f t="shared" si="8"/>
        <v>0</v>
      </c>
      <c r="F53" s="74">
        <f t="shared" si="9"/>
        <v>0</v>
      </c>
      <c r="G53" s="74">
        <f t="shared" si="10"/>
        <v>0</v>
      </c>
      <c r="H53" s="74">
        <f t="shared" si="11"/>
        <v>0</v>
      </c>
    </row>
    <row r="54" spans="1:8" hidden="1">
      <c r="A54" s="73" t="str">
        <f t="shared" si="4"/>
        <v>Tomato</v>
      </c>
      <c r="B54" s="74">
        <f t="shared" si="5"/>
        <v>0</v>
      </c>
      <c r="C54" s="74">
        <f t="shared" si="6"/>
        <v>0</v>
      </c>
      <c r="D54" s="74">
        <f t="shared" si="7"/>
        <v>0</v>
      </c>
      <c r="E54" s="74">
        <f t="shared" si="8"/>
        <v>0</v>
      </c>
      <c r="F54" s="74">
        <f t="shared" si="9"/>
        <v>0</v>
      </c>
      <c r="G54" s="74">
        <f t="shared" si="10"/>
        <v>0</v>
      </c>
      <c r="H54" s="74">
        <f t="shared" si="11"/>
        <v>0</v>
      </c>
    </row>
    <row r="55" spans="1:8" hidden="1">
      <c r="A55" s="73" t="str">
        <f t="shared" si="4"/>
        <v>Okra</v>
      </c>
      <c r="B55" s="74">
        <f t="shared" si="5"/>
        <v>0</v>
      </c>
      <c r="C55" s="74">
        <f t="shared" si="6"/>
        <v>0</v>
      </c>
      <c r="D55" s="74">
        <f t="shared" si="7"/>
        <v>0</v>
      </c>
      <c r="E55" s="74">
        <f t="shared" si="8"/>
        <v>0</v>
      </c>
      <c r="F55" s="74">
        <f t="shared" si="9"/>
        <v>0</v>
      </c>
      <c r="G55" s="74">
        <f t="shared" si="10"/>
        <v>0</v>
      </c>
      <c r="H55" s="74">
        <f t="shared" si="11"/>
        <v>0</v>
      </c>
    </row>
    <row r="56" spans="1:8" hidden="1">
      <c r="A56" s="73" t="str">
        <f t="shared" si="4"/>
        <v>Chilli</v>
      </c>
      <c r="B56" s="74">
        <f t="shared" si="5"/>
        <v>0</v>
      </c>
      <c r="C56" s="74">
        <f t="shared" si="6"/>
        <v>0</v>
      </c>
      <c r="D56" s="74">
        <f t="shared" si="7"/>
        <v>0</v>
      </c>
      <c r="E56" s="74">
        <f t="shared" si="8"/>
        <v>0</v>
      </c>
      <c r="F56" s="74">
        <f t="shared" si="9"/>
        <v>0</v>
      </c>
      <c r="G56" s="74">
        <f t="shared" si="10"/>
        <v>0</v>
      </c>
      <c r="H56" s="74">
        <f t="shared" si="11"/>
        <v>0</v>
      </c>
    </row>
    <row r="57" spans="1:8" hidden="1">
      <c r="A57" s="73" t="str">
        <f t="shared" si="4"/>
        <v>Brinjal</v>
      </c>
      <c r="B57" s="74">
        <f t="shared" si="5"/>
        <v>0</v>
      </c>
      <c r="C57" s="74">
        <f t="shared" si="6"/>
        <v>0</v>
      </c>
      <c r="D57" s="74">
        <f t="shared" si="7"/>
        <v>0</v>
      </c>
      <c r="E57" s="74">
        <f t="shared" si="8"/>
        <v>0</v>
      </c>
      <c r="F57" s="74">
        <f t="shared" si="9"/>
        <v>0</v>
      </c>
      <c r="G57" s="74">
        <f t="shared" si="10"/>
        <v>0</v>
      </c>
      <c r="H57" s="74">
        <f t="shared" si="11"/>
        <v>0</v>
      </c>
    </row>
    <row r="58" spans="1:8" hidden="1">
      <c r="A58" s="73">
        <f t="shared" si="4"/>
        <v>0</v>
      </c>
      <c r="B58" s="74">
        <f t="shared" si="5"/>
        <v>0</v>
      </c>
      <c r="C58" s="74">
        <f t="shared" si="6"/>
        <v>0</v>
      </c>
      <c r="D58" s="74">
        <f t="shared" si="7"/>
        <v>0</v>
      </c>
      <c r="E58" s="74">
        <f t="shared" si="8"/>
        <v>0</v>
      </c>
      <c r="F58" s="74">
        <f t="shared" si="9"/>
        <v>0</v>
      </c>
      <c r="G58" s="74">
        <f t="shared" si="10"/>
        <v>0</v>
      </c>
      <c r="H58" s="74">
        <f t="shared" si="11"/>
        <v>0</v>
      </c>
    </row>
    <row r="59" spans="1:8" hidden="1">
      <c r="A59" s="73">
        <f t="shared" si="4"/>
        <v>0</v>
      </c>
      <c r="B59" s="74">
        <f t="shared" si="5"/>
        <v>0</v>
      </c>
      <c r="C59" s="74">
        <f t="shared" si="6"/>
        <v>0</v>
      </c>
      <c r="D59" s="74">
        <f t="shared" si="7"/>
        <v>0</v>
      </c>
      <c r="E59" s="74">
        <f t="shared" si="8"/>
        <v>0</v>
      </c>
      <c r="F59" s="74">
        <f t="shared" si="9"/>
        <v>0</v>
      </c>
      <c r="G59" s="74">
        <f t="shared" si="10"/>
        <v>0</v>
      </c>
      <c r="H59" s="74">
        <f t="shared" si="11"/>
        <v>0</v>
      </c>
    </row>
    <row r="60" spans="1:8" hidden="1">
      <c r="A60" s="73">
        <f t="shared" si="4"/>
        <v>0</v>
      </c>
      <c r="B60" s="74">
        <f t="shared" si="5"/>
        <v>0</v>
      </c>
      <c r="C60" s="74">
        <f t="shared" si="6"/>
        <v>0</v>
      </c>
      <c r="D60" s="74">
        <f t="shared" si="7"/>
        <v>0</v>
      </c>
      <c r="E60" s="74">
        <f t="shared" si="8"/>
        <v>0</v>
      </c>
      <c r="F60" s="74">
        <f t="shared" si="9"/>
        <v>0</v>
      </c>
      <c r="G60" s="74">
        <f t="shared" si="10"/>
        <v>0</v>
      </c>
      <c r="H60" s="74">
        <f t="shared" si="11"/>
        <v>0</v>
      </c>
    </row>
    <row r="61" spans="1:8" hidden="1">
      <c r="A61" s="73">
        <f t="shared" si="4"/>
        <v>0</v>
      </c>
      <c r="B61" s="74">
        <f t="shared" si="5"/>
        <v>0</v>
      </c>
      <c r="C61" s="74">
        <f t="shared" si="6"/>
        <v>0</v>
      </c>
      <c r="D61" s="74">
        <f t="shared" si="7"/>
        <v>0</v>
      </c>
      <c r="E61" s="74">
        <f t="shared" si="8"/>
        <v>0</v>
      </c>
      <c r="F61" s="74">
        <f t="shared" si="9"/>
        <v>0</v>
      </c>
      <c r="G61" s="74">
        <f t="shared" si="10"/>
        <v>0</v>
      </c>
      <c r="H61" s="74">
        <f t="shared" si="11"/>
        <v>0</v>
      </c>
    </row>
    <row r="62" spans="1:8" hidden="1">
      <c r="A62" s="73" t="str">
        <f t="shared" ref="A62" si="12">A34</f>
        <v>Pomegranate</v>
      </c>
      <c r="B62" s="74">
        <f>B34*$B$41</f>
        <v>0</v>
      </c>
      <c r="C62" s="74">
        <f t="shared" ref="C62:H62" si="13">C34*$B$41</f>
        <v>0</v>
      </c>
      <c r="D62" s="74">
        <f t="shared" si="13"/>
        <v>0</v>
      </c>
      <c r="E62" s="74">
        <f t="shared" si="13"/>
        <v>0</v>
      </c>
      <c r="F62" s="74">
        <f t="shared" si="13"/>
        <v>0</v>
      </c>
      <c r="G62" s="74">
        <f t="shared" si="13"/>
        <v>0</v>
      </c>
      <c r="H62" s="74">
        <f t="shared" si="13"/>
        <v>0</v>
      </c>
    </row>
    <row r="63" spans="1:8" hidden="1">
      <c r="A63" s="73" t="str">
        <f>A35</f>
        <v>Custard Apple</v>
      </c>
      <c r="B63" s="74">
        <f t="shared" ref="B63:H63" si="14">B35*$B$41</f>
        <v>0</v>
      </c>
      <c r="C63" s="74">
        <f t="shared" si="14"/>
        <v>0</v>
      </c>
      <c r="D63" s="74">
        <f t="shared" si="14"/>
        <v>0</v>
      </c>
      <c r="E63" s="74">
        <f t="shared" si="14"/>
        <v>0</v>
      </c>
      <c r="F63" s="74">
        <f t="shared" si="14"/>
        <v>0</v>
      </c>
      <c r="G63" s="74">
        <f t="shared" si="14"/>
        <v>0</v>
      </c>
      <c r="H63" s="74">
        <f t="shared" si="14"/>
        <v>0</v>
      </c>
    </row>
    <row r="64" spans="1:8" hidden="1">
      <c r="A64" s="73" t="str">
        <f>A36</f>
        <v>Guava</v>
      </c>
      <c r="B64" s="74">
        <f t="shared" ref="B64:H65" si="15">B36*$B$41</f>
        <v>0</v>
      </c>
      <c r="C64" s="74">
        <f t="shared" si="15"/>
        <v>0</v>
      </c>
      <c r="D64" s="74">
        <f t="shared" si="15"/>
        <v>0</v>
      </c>
      <c r="E64" s="74">
        <f t="shared" si="15"/>
        <v>0</v>
      </c>
      <c r="F64" s="74">
        <f t="shared" si="15"/>
        <v>0</v>
      </c>
      <c r="G64" s="74">
        <f t="shared" si="15"/>
        <v>0</v>
      </c>
      <c r="H64" s="74">
        <f t="shared" si="15"/>
        <v>0</v>
      </c>
    </row>
    <row r="65" spans="1:8" hidden="1">
      <c r="A65" s="73" t="str">
        <f>A37</f>
        <v>Citrus</v>
      </c>
      <c r="B65" s="74">
        <f t="shared" si="15"/>
        <v>0</v>
      </c>
      <c r="C65" s="74">
        <f t="shared" si="15"/>
        <v>0</v>
      </c>
      <c r="D65" s="74">
        <f t="shared" si="15"/>
        <v>0</v>
      </c>
      <c r="E65" s="74">
        <f t="shared" si="15"/>
        <v>0</v>
      </c>
      <c r="F65" s="74">
        <f t="shared" si="15"/>
        <v>0</v>
      </c>
      <c r="G65" s="74">
        <f t="shared" si="15"/>
        <v>0</v>
      </c>
      <c r="H65" s="74">
        <f t="shared" si="15"/>
        <v>0</v>
      </c>
    </row>
    <row r="66" spans="1:8">
      <c r="A66" s="75" t="s">
        <v>281</v>
      </c>
      <c r="B66" s="73"/>
      <c r="C66" s="73"/>
      <c r="D66" s="73"/>
      <c r="E66" s="73"/>
      <c r="F66" s="73"/>
      <c r="G66" s="73"/>
      <c r="H66" s="73"/>
    </row>
    <row r="67" spans="1:8">
      <c r="A67" s="73" t="s">
        <v>771</v>
      </c>
      <c r="B67" s="161">
        <f>B44*90%</f>
        <v>0</v>
      </c>
      <c r="C67" s="161">
        <f t="shared" ref="C67:H67" si="16">C44*90%</f>
        <v>0</v>
      </c>
      <c r="D67" s="161">
        <f t="shared" si="16"/>
        <v>0</v>
      </c>
      <c r="E67" s="161">
        <f t="shared" si="16"/>
        <v>0</v>
      </c>
      <c r="F67" s="161">
        <f t="shared" si="16"/>
        <v>0</v>
      </c>
      <c r="G67" s="161">
        <f t="shared" si="16"/>
        <v>0</v>
      </c>
      <c r="H67" s="161">
        <f t="shared" si="16"/>
        <v>0</v>
      </c>
    </row>
    <row r="68" spans="1:8" hidden="1">
      <c r="A68" s="73"/>
      <c r="B68" s="161"/>
      <c r="C68" s="161"/>
      <c r="D68" s="161"/>
      <c r="E68" s="161"/>
      <c r="F68" s="161"/>
      <c r="G68" s="161"/>
      <c r="H68" s="161"/>
    </row>
    <row r="69" spans="1:8" hidden="1">
      <c r="A69" s="73"/>
      <c r="B69" s="161"/>
      <c r="C69" s="161"/>
      <c r="D69" s="161"/>
      <c r="E69" s="161"/>
      <c r="F69" s="161"/>
      <c r="G69" s="161"/>
      <c r="H69" s="161"/>
    </row>
    <row r="70" spans="1:8" hidden="1">
      <c r="A70" s="73"/>
      <c r="B70" s="161"/>
      <c r="C70" s="161"/>
      <c r="D70" s="161"/>
      <c r="E70" s="161"/>
      <c r="F70" s="161"/>
      <c r="G70" s="161"/>
      <c r="H70" s="161"/>
    </row>
    <row r="71" spans="1:8" hidden="1">
      <c r="A71" s="73" t="str">
        <f>A45</f>
        <v>Tomato</v>
      </c>
      <c r="B71" s="74"/>
      <c r="C71" s="74"/>
      <c r="D71" s="74"/>
      <c r="E71" s="74"/>
      <c r="F71" s="74"/>
      <c r="G71" s="74"/>
      <c r="H71" s="74"/>
    </row>
    <row r="72" spans="1:8" hidden="1">
      <c r="A72" s="73"/>
      <c r="B72" s="74"/>
      <c r="C72" s="74"/>
      <c r="D72" s="74"/>
      <c r="E72" s="74"/>
      <c r="F72" s="74"/>
      <c r="G72" s="74"/>
      <c r="H72" s="74"/>
    </row>
    <row r="73" spans="1:8" hidden="1">
      <c r="A73" s="73"/>
      <c r="B73" s="74"/>
      <c r="C73" s="74"/>
      <c r="D73" s="74"/>
      <c r="E73" s="74"/>
      <c r="F73" s="74"/>
      <c r="G73" s="74"/>
      <c r="H73" s="74"/>
    </row>
    <row r="74" spans="1:8" hidden="1">
      <c r="A74" s="73"/>
      <c r="B74" s="74"/>
      <c r="C74" s="74"/>
      <c r="D74" s="74"/>
      <c r="E74" s="74"/>
      <c r="F74" s="74"/>
      <c r="G74" s="74"/>
      <c r="H74" s="74"/>
    </row>
    <row r="75" spans="1:8" hidden="1">
      <c r="A75" s="73" t="str">
        <f>A46</f>
        <v>Okra</v>
      </c>
      <c r="B75" s="74"/>
      <c r="C75" s="74"/>
      <c r="D75" s="74"/>
      <c r="E75" s="74"/>
      <c r="F75" s="74"/>
      <c r="G75" s="74"/>
      <c r="H75" s="74"/>
    </row>
    <row r="76" spans="1:8" hidden="1">
      <c r="A76" s="73"/>
      <c r="B76" s="74"/>
      <c r="C76" s="74"/>
      <c r="D76" s="74"/>
      <c r="E76" s="74"/>
      <c r="F76" s="74"/>
      <c r="G76" s="74"/>
      <c r="H76" s="74"/>
    </row>
    <row r="77" spans="1:8" hidden="1">
      <c r="A77" s="73"/>
      <c r="B77" s="74"/>
      <c r="C77" s="74"/>
      <c r="D77" s="74"/>
      <c r="E77" s="74"/>
      <c r="F77" s="74"/>
      <c r="G77" s="74"/>
      <c r="H77" s="74"/>
    </row>
    <row r="78" spans="1:8" hidden="1">
      <c r="A78" s="73"/>
      <c r="B78" s="74"/>
      <c r="C78" s="74"/>
      <c r="D78" s="74"/>
      <c r="E78" s="74"/>
      <c r="F78" s="74"/>
      <c r="G78" s="74"/>
      <c r="H78" s="74"/>
    </row>
    <row r="79" spans="1:8" hidden="1">
      <c r="A79" s="73" t="str">
        <f>A47</f>
        <v>Chilli</v>
      </c>
      <c r="B79" s="74"/>
      <c r="C79" s="74"/>
      <c r="D79" s="74"/>
      <c r="E79" s="74"/>
      <c r="F79" s="74"/>
      <c r="G79" s="74"/>
      <c r="H79" s="74"/>
    </row>
    <row r="80" spans="1:8" hidden="1">
      <c r="A80" s="73"/>
      <c r="B80" s="74"/>
      <c r="C80" s="74"/>
      <c r="D80" s="74"/>
      <c r="E80" s="74"/>
      <c r="F80" s="74"/>
      <c r="G80" s="74"/>
      <c r="H80" s="74"/>
    </row>
    <row r="81" spans="1:8" hidden="1">
      <c r="A81" s="73"/>
      <c r="B81" s="74"/>
      <c r="C81" s="74"/>
      <c r="D81" s="74"/>
      <c r="E81" s="74"/>
      <c r="F81" s="74"/>
      <c r="G81" s="74"/>
      <c r="H81" s="74"/>
    </row>
    <row r="82" spans="1:8" hidden="1">
      <c r="A82" s="73"/>
      <c r="B82" s="74"/>
      <c r="C82" s="74"/>
      <c r="D82" s="74"/>
      <c r="E82" s="74"/>
      <c r="F82" s="74"/>
      <c r="G82" s="74"/>
      <c r="H82" s="74"/>
    </row>
    <row r="83" spans="1:8" hidden="1">
      <c r="A83" s="73" t="str">
        <f>A48</f>
        <v>Potato</v>
      </c>
      <c r="B83" s="74"/>
      <c r="C83" s="74"/>
      <c r="D83" s="74"/>
      <c r="E83" s="74"/>
      <c r="F83" s="74"/>
      <c r="G83" s="74"/>
      <c r="H83" s="74"/>
    </row>
    <row r="84" spans="1:8" hidden="1">
      <c r="A84" s="73"/>
      <c r="B84" s="74"/>
      <c r="C84" s="74"/>
      <c r="D84" s="74"/>
      <c r="E84" s="74"/>
      <c r="F84" s="74"/>
      <c r="G84" s="74"/>
      <c r="H84" s="74"/>
    </row>
    <row r="85" spans="1:8" hidden="1">
      <c r="A85" s="73"/>
      <c r="B85" s="74"/>
      <c r="C85" s="74"/>
      <c r="D85" s="74"/>
      <c r="E85" s="74"/>
      <c r="F85" s="74"/>
      <c r="G85" s="74"/>
      <c r="H85" s="74"/>
    </row>
    <row r="86" spans="1:8" hidden="1">
      <c r="A86" s="73"/>
      <c r="B86" s="74"/>
      <c r="C86" s="74"/>
      <c r="D86" s="74"/>
      <c r="E86" s="74"/>
      <c r="F86" s="74"/>
      <c r="G86" s="74"/>
      <c r="H86" s="74"/>
    </row>
    <row r="87" spans="1:8" hidden="1">
      <c r="A87" s="73">
        <f>A49</f>
        <v>0</v>
      </c>
      <c r="B87" s="74"/>
      <c r="C87" s="74"/>
      <c r="D87" s="74"/>
      <c r="E87" s="74"/>
      <c r="F87" s="74"/>
      <c r="G87" s="74"/>
      <c r="H87" s="74"/>
    </row>
    <row r="88" spans="1:8" hidden="1">
      <c r="A88" s="73"/>
      <c r="B88" s="74"/>
      <c r="C88" s="74"/>
      <c r="D88" s="74"/>
      <c r="E88" s="74"/>
      <c r="F88" s="74"/>
      <c r="G88" s="74"/>
      <c r="H88" s="74"/>
    </row>
    <row r="89" spans="1:8" hidden="1">
      <c r="A89" s="73"/>
      <c r="B89" s="74"/>
      <c r="C89" s="74"/>
      <c r="D89" s="74"/>
      <c r="E89" s="74"/>
      <c r="F89" s="74"/>
      <c r="G89" s="74"/>
      <c r="H89" s="74"/>
    </row>
    <row r="90" spans="1:8" hidden="1">
      <c r="A90" s="73"/>
      <c r="B90" s="74"/>
      <c r="C90" s="74"/>
      <c r="D90" s="74"/>
      <c r="E90" s="74"/>
      <c r="F90" s="74"/>
      <c r="G90" s="74"/>
      <c r="H90" s="74"/>
    </row>
    <row r="91" spans="1:8" hidden="1">
      <c r="A91" s="73">
        <f>A50</f>
        <v>0</v>
      </c>
      <c r="B91" s="74"/>
      <c r="C91" s="74"/>
      <c r="D91" s="74"/>
      <c r="E91" s="74"/>
      <c r="F91" s="74"/>
      <c r="G91" s="74"/>
      <c r="H91" s="74"/>
    </row>
    <row r="92" spans="1:8" hidden="1">
      <c r="A92" s="73"/>
      <c r="B92" s="74"/>
      <c r="C92" s="74"/>
      <c r="D92" s="74"/>
      <c r="E92" s="74"/>
      <c r="F92" s="74"/>
      <c r="G92" s="74"/>
      <c r="H92" s="74"/>
    </row>
    <row r="93" spans="1:8" hidden="1">
      <c r="A93" s="73"/>
      <c r="B93" s="74"/>
      <c r="C93" s="74"/>
      <c r="D93" s="74"/>
      <c r="E93" s="74"/>
      <c r="F93" s="74"/>
      <c r="G93" s="74"/>
      <c r="H93" s="74"/>
    </row>
    <row r="94" spans="1:8" hidden="1">
      <c r="A94" s="73">
        <f>A51</f>
        <v>0</v>
      </c>
      <c r="B94" s="74"/>
      <c r="C94" s="74"/>
      <c r="D94" s="74"/>
      <c r="E94" s="74"/>
      <c r="F94" s="74"/>
      <c r="G94" s="74"/>
      <c r="H94" s="74"/>
    </row>
    <row r="95" spans="1:8" hidden="1">
      <c r="A95" s="73"/>
      <c r="B95" s="74"/>
      <c r="C95" s="74"/>
      <c r="D95" s="74"/>
      <c r="E95" s="74"/>
      <c r="F95" s="74"/>
      <c r="G95" s="74"/>
      <c r="H95" s="74"/>
    </row>
    <row r="96" spans="1:8" hidden="1">
      <c r="A96" s="73"/>
      <c r="B96" s="74"/>
      <c r="C96" s="74"/>
      <c r="D96" s="74"/>
      <c r="E96" s="74"/>
      <c r="F96" s="74"/>
      <c r="G96" s="74"/>
      <c r="H96" s="74"/>
    </row>
    <row r="97" spans="1:8" hidden="1">
      <c r="A97" s="73"/>
      <c r="B97" s="74"/>
      <c r="C97" s="74"/>
      <c r="D97" s="74"/>
      <c r="E97" s="74"/>
      <c r="F97" s="74"/>
      <c r="G97" s="74"/>
      <c r="H97" s="74"/>
    </row>
    <row r="98" spans="1:8" hidden="1">
      <c r="A98" s="73">
        <f>A52</f>
        <v>0</v>
      </c>
      <c r="B98" s="74"/>
      <c r="C98" s="74"/>
      <c r="D98" s="74"/>
      <c r="E98" s="74"/>
      <c r="F98" s="74"/>
      <c r="G98" s="74"/>
      <c r="H98" s="74"/>
    </row>
    <row r="99" spans="1:8" hidden="1">
      <c r="A99" s="73"/>
      <c r="B99" s="74"/>
      <c r="C99" s="74"/>
      <c r="D99" s="74"/>
      <c r="E99" s="74"/>
      <c r="F99" s="74"/>
      <c r="G99" s="74"/>
      <c r="H99" s="74"/>
    </row>
    <row r="100" spans="1:8" hidden="1">
      <c r="A100" s="73"/>
      <c r="B100" s="74"/>
      <c r="C100" s="74"/>
      <c r="D100" s="74"/>
      <c r="E100" s="74"/>
      <c r="F100" s="74"/>
      <c r="G100" s="74"/>
      <c r="H100" s="74"/>
    </row>
    <row r="101" spans="1:8" hidden="1">
      <c r="A101" s="73"/>
      <c r="B101" s="74"/>
      <c r="C101" s="74"/>
      <c r="D101" s="74"/>
      <c r="E101" s="74"/>
      <c r="F101" s="74"/>
      <c r="G101" s="74"/>
      <c r="H101" s="74"/>
    </row>
    <row r="102" spans="1:8" hidden="1">
      <c r="A102" s="73" t="str">
        <f>A53</f>
        <v>Onion</v>
      </c>
      <c r="B102" s="74"/>
      <c r="C102" s="74"/>
      <c r="D102" s="74"/>
      <c r="E102" s="74"/>
      <c r="F102" s="74"/>
      <c r="G102" s="74"/>
      <c r="H102" s="74"/>
    </row>
    <row r="103" spans="1:8" hidden="1">
      <c r="A103" s="73"/>
      <c r="B103" s="74"/>
      <c r="C103" s="74"/>
      <c r="D103" s="74"/>
      <c r="E103" s="74"/>
      <c r="F103" s="74"/>
      <c r="G103" s="74"/>
      <c r="H103" s="74"/>
    </row>
    <row r="104" spans="1:8" hidden="1">
      <c r="A104" s="73"/>
      <c r="B104" s="74"/>
      <c r="C104" s="74"/>
      <c r="D104" s="74"/>
      <c r="E104" s="74"/>
      <c r="F104" s="74"/>
      <c r="G104" s="74"/>
      <c r="H104" s="74"/>
    </row>
    <row r="105" spans="1:8" hidden="1">
      <c r="A105" s="73"/>
      <c r="B105" s="74"/>
      <c r="C105" s="74"/>
      <c r="D105" s="74"/>
      <c r="E105" s="74"/>
      <c r="F105" s="74"/>
      <c r="G105" s="74"/>
      <c r="H105" s="74"/>
    </row>
    <row r="106" spans="1:8" hidden="1">
      <c r="A106" s="73" t="str">
        <f>A54</f>
        <v>Tomato</v>
      </c>
      <c r="B106" s="74"/>
      <c r="C106" s="74"/>
      <c r="D106" s="74"/>
      <c r="E106" s="74"/>
      <c r="F106" s="74"/>
      <c r="G106" s="74"/>
      <c r="H106" s="74"/>
    </row>
    <row r="107" spans="1:8" hidden="1">
      <c r="A107" s="73"/>
      <c r="B107" s="74"/>
      <c r="C107" s="74"/>
      <c r="D107" s="74"/>
      <c r="E107" s="74"/>
      <c r="F107" s="74"/>
      <c r="G107" s="74"/>
      <c r="H107" s="74"/>
    </row>
    <row r="108" spans="1:8" hidden="1">
      <c r="A108" s="73"/>
      <c r="B108" s="74"/>
      <c r="C108" s="74"/>
      <c r="D108" s="74"/>
      <c r="E108" s="74"/>
      <c r="F108" s="74"/>
      <c r="G108" s="74"/>
      <c r="H108" s="74"/>
    </row>
    <row r="109" spans="1:8" hidden="1">
      <c r="A109" s="73"/>
      <c r="B109" s="74"/>
      <c r="C109" s="74"/>
      <c r="D109" s="74"/>
      <c r="E109" s="74"/>
      <c r="F109" s="74"/>
      <c r="G109" s="74"/>
      <c r="H109" s="74"/>
    </row>
    <row r="110" spans="1:8" hidden="1">
      <c r="A110" s="73" t="str">
        <f>A55</f>
        <v>Okra</v>
      </c>
      <c r="B110" s="74"/>
      <c r="C110" s="74"/>
      <c r="D110" s="74"/>
      <c r="E110" s="74"/>
      <c r="F110" s="74"/>
      <c r="G110" s="74"/>
      <c r="H110" s="74"/>
    </row>
    <row r="111" spans="1:8" hidden="1">
      <c r="A111" s="73"/>
      <c r="B111" s="74"/>
      <c r="C111" s="74"/>
      <c r="D111" s="74"/>
      <c r="E111" s="74"/>
      <c r="F111" s="74"/>
      <c r="G111" s="74"/>
      <c r="H111" s="74"/>
    </row>
    <row r="112" spans="1:8" hidden="1">
      <c r="A112" s="73"/>
      <c r="B112" s="74"/>
      <c r="C112" s="74"/>
      <c r="D112" s="74"/>
      <c r="E112" s="74"/>
      <c r="F112" s="74"/>
      <c r="G112" s="74"/>
      <c r="H112" s="74"/>
    </row>
    <row r="113" spans="1:8" hidden="1">
      <c r="A113" s="73"/>
      <c r="B113" s="74"/>
      <c r="C113" s="74"/>
      <c r="D113" s="74"/>
      <c r="E113" s="74"/>
      <c r="F113" s="74"/>
      <c r="G113" s="74"/>
      <c r="H113" s="74"/>
    </row>
    <row r="114" spans="1:8" hidden="1">
      <c r="A114" s="73" t="str">
        <f>A56</f>
        <v>Chilli</v>
      </c>
      <c r="B114" s="74"/>
      <c r="C114" s="74"/>
      <c r="D114" s="74"/>
      <c r="E114" s="74"/>
      <c r="F114" s="74"/>
      <c r="G114" s="74"/>
      <c r="H114" s="74"/>
    </row>
    <row r="115" spans="1:8" hidden="1">
      <c r="A115" s="73"/>
      <c r="B115" s="74"/>
      <c r="C115" s="74"/>
      <c r="D115" s="74"/>
      <c r="E115" s="74"/>
      <c r="F115" s="74"/>
      <c r="G115" s="74"/>
      <c r="H115" s="74"/>
    </row>
    <row r="116" spans="1:8" hidden="1">
      <c r="A116" s="73"/>
      <c r="B116" s="74"/>
      <c r="C116" s="74"/>
      <c r="D116" s="74"/>
      <c r="E116" s="74"/>
      <c r="F116" s="74"/>
      <c r="G116" s="74"/>
      <c r="H116" s="74"/>
    </row>
    <row r="117" spans="1:8" hidden="1">
      <c r="A117" s="73"/>
      <c r="B117" s="74"/>
      <c r="C117" s="74"/>
      <c r="D117" s="74"/>
      <c r="E117" s="74"/>
      <c r="F117" s="74"/>
      <c r="G117" s="74"/>
      <c r="H117" s="74"/>
    </row>
    <row r="118" spans="1:8" hidden="1">
      <c r="A118" s="75" t="str">
        <f t="shared" ref="A118:A123" si="17">A57</f>
        <v>Brinjal</v>
      </c>
      <c r="B118" s="74"/>
      <c r="C118" s="74"/>
      <c r="D118" s="74"/>
      <c r="E118" s="74"/>
      <c r="F118" s="74"/>
      <c r="G118" s="74"/>
      <c r="H118" s="74"/>
    </row>
    <row r="119" spans="1:8" hidden="1">
      <c r="A119" s="73">
        <f t="shared" si="17"/>
        <v>0</v>
      </c>
      <c r="B119" s="74"/>
      <c r="C119" s="74"/>
      <c r="D119" s="74"/>
      <c r="E119" s="74"/>
      <c r="F119" s="74"/>
      <c r="G119" s="74"/>
      <c r="H119" s="74"/>
    </row>
    <row r="120" spans="1:8" hidden="1">
      <c r="A120" s="73">
        <f t="shared" si="17"/>
        <v>0</v>
      </c>
      <c r="B120" s="74"/>
      <c r="C120" s="74"/>
      <c r="D120" s="74"/>
      <c r="E120" s="74"/>
      <c r="F120" s="74"/>
      <c r="G120" s="74"/>
      <c r="H120" s="74"/>
    </row>
    <row r="121" spans="1:8" hidden="1">
      <c r="A121" s="73">
        <f t="shared" si="17"/>
        <v>0</v>
      </c>
      <c r="B121" s="74"/>
      <c r="C121" s="74"/>
      <c r="D121" s="74"/>
      <c r="E121" s="74"/>
      <c r="F121" s="74"/>
      <c r="G121" s="74"/>
      <c r="H121" s="74"/>
    </row>
    <row r="122" spans="1:8" hidden="1">
      <c r="A122" s="73">
        <f t="shared" si="17"/>
        <v>0</v>
      </c>
      <c r="B122" s="74"/>
      <c r="C122" s="74"/>
      <c r="D122" s="74"/>
      <c r="E122" s="74"/>
      <c r="F122" s="74"/>
      <c r="G122" s="74"/>
      <c r="H122" s="74"/>
    </row>
    <row r="123" spans="1:8" hidden="1">
      <c r="A123" s="75" t="str">
        <f t="shared" si="17"/>
        <v>Pomegranate</v>
      </c>
      <c r="B123" s="74"/>
      <c r="C123" s="74"/>
      <c r="D123" s="74"/>
      <c r="E123" s="74"/>
      <c r="F123" s="74"/>
      <c r="G123" s="74"/>
      <c r="H123" s="74"/>
    </row>
    <row r="124" spans="1:8" hidden="1">
      <c r="A124" s="73" t="s">
        <v>512</v>
      </c>
      <c r="B124" s="74">
        <f>(B$62*50%)*0.7</f>
        <v>0</v>
      </c>
      <c r="C124" s="74">
        <f>(C$62*50%)*0.7</f>
        <v>0</v>
      </c>
      <c r="D124" s="74">
        <f t="shared" ref="D124:H126" si="18">(D$62*50%)*0.7</f>
        <v>0</v>
      </c>
      <c r="E124" s="74">
        <f t="shared" si="18"/>
        <v>0</v>
      </c>
      <c r="F124" s="74">
        <f t="shared" si="18"/>
        <v>0</v>
      </c>
      <c r="G124" s="74">
        <f t="shared" si="18"/>
        <v>0</v>
      </c>
      <c r="H124" s="74">
        <f t="shared" si="18"/>
        <v>0</v>
      </c>
    </row>
    <row r="125" spans="1:8" hidden="1">
      <c r="A125" s="73" t="s">
        <v>510</v>
      </c>
      <c r="B125" s="74">
        <f>(B$62*50%)*0.7*2</f>
        <v>0</v>
      </c>
      <c r="C125" s="74">
        <f>(C$62*50%)*0.7</f>
        <v>0</v>
      </c>
      <c r="D125" s="74">
        <f t="shared" si="18"/>
        <v>0</v>
      </c>
      <c r="E125" s="74">
        <f t="shared" si="18"/>
        <v>0</v>
      </c>
      <c r="F125" s="74">
        <f t="shared" si="18"/>
        <v>0</v>
      </c>
      <c r="G125" s="74">
        <f t="shared" si="18"/>
        <v>0</v>
      </c>
      <c r="H125" s="74">
        <f t="shared" si="18"/>
        <v>0</v>
      </c>
    </row>
    <row r="126" spans="1:8" hidden="1">
      <c r="A126" s="73" t="s">
        <v>511</v>
      </c>
      <c r="B126" s="74">
        <f>(B$62*0.3)*0.2</f>
        <v>0</v>
      </c>
      <c r="C126" s="74">
        <f>(C$62*50%)*0.7</f>
        <v>0</v>
      </c>
      <c r="D126" s="74">
        <f t="shared" si="18"/>
        <v>0</v>
      </c>
      <c r="E126" s="74">
        <f t="shared" si="18"/>
        <v>0</v>
      </c>
      <c r="F126" s="74">
        <f t="shared" si="18"/>
        <v>0</v>
      </c>
      <c r="G126" s="74">
        <f t="shared" si="18"/>
        <v>0</v>
      </c>
      <c r="H126" s="74">
        <f t="shared" si="18"/>
        <v>0</v>
      </c>
    </row>
    <row r="127" spans="1:8" hidden="1">
      <c r="A127" s="73" t="str">
        <f t="shared" ref="A127" si="19">A63</f>
        <v>Custard Apple</v>
      </c>
      <c r="B127" s="74"/>
      <c r="C127" s="74"/>
      <c r="D127" s="74"/>
      <c r="E127" s="74"/>
      <c r="F127" s="74"/>
      <c r="G127" s="74"/>
      <c r="H127" s="74"/>
    </row>
    <row r="128" spans="1:8" hidden="1">
      <c r="A128" s="73"/>
      <c r="B128" s="74"/>
      <c r="C128" s="74"/>
      <c r="D128" s="74"/>
      <c r="E128" s="74"/>
      <c r="F128" s="74"/>
      <c r="G128" s="74"/>
      <c r="H128" s="74"/>
    </row>
    <row r="129" spans="1:8" hidden="1">
      <c r="A129" s="73"/>
      <c r="B129" s="74"/>
      <c r="C129" s="74"/>
      <c r="D129" s="74"/>
      <c r="E129" s="74"/>
      <c r="F129" s="74"/>
      <c r="G129" s="74"/>
      <c r="H129" s="74"/>
    </row>
    <row r="130" spans="1:8" hidden="1">
      <c r="A130" s="73"/>
      <c r="B130" s="74"/>
      <c r="C130" s="74"/>
      <c r="D130" s="74"/>
      <c r="E130" s="74"/>
      <c r="F130" s="74"/>
      <c r="G130" s="74"/>
      <c r="H130" s="74"/>
    </row>
    <row r="131" spans="1:8" hidden="1">
      <c r="A131" s="73" t="str">
        <f>A64</f>
        <v>Guava</v>
      </c>
      <c r="B131" s="74"/>
      <c r="C131" s="74"/>
      <c r="D131" s="74"/>
      <c r="E131" s="74"/>
      <c r="F131" s="74"/>
      <c r="G131" s="74"/>
      <c r="H131" s="74"/>
    </row>
    <row r="132" spans="1:8" hidden="1">
      <c r="A132" s="73"/>
      <c r="B132" s="74"/>
      <c r="C132" s="74"/>
      <c r="D132" s="74"/>
      <c r="E132" s="74"/>
      <c r="F132" s="74"/>
      <c r="G132" s="74"/>
      <c r="H132" s="74"/>
    </row>
    <row r="133" spans="1:8" hidden="1">
      <c r="A133" s="73"/>
      <c r="B133" s="74"/>
      <c r="C133" s="74"/>
      <c r="D133" s="74"/>
      <c r="E133" s="74"/>
      <c r="F133" s="74"/>
      <c r="G133" s="74"/>
      <c r="H133" s="74"/>
    </row>
    <row r="134" spans="1:8" hidden="1">
      <c r="A134" s="73"/>
      <c r="B134" s="74"/>
      <c r="C134" s="74"/>
      <c r="D134" s="74"/>
      <c r="E134" s="74"/>
      <c r="F134" s="74"/>
      <c r="G134" s="74"/>
      <c r="H134" s="74"/>
    </row>
    <row r="135" spans="1:8" hidden="1">
      <c r="A135" s="73" t="str">
        <f>A65</f>
        <v>Citrus</v>
      </c>
      <c r="B135" s="74"/>
      <c r="C135" s="74"/>
      <c r="D135" s="74"/>
      <c r="E135" s="74"/>
      <c r="F135" s="74"/>
      <c r="G135" s="74"/>
      <c r="H135" s="74"/>
    </row>
    <row r="136" spans="1:8" hidden="1">
      <c r="A136" s="73"/>
      <c r="B136" s="74"/>
      <c r="C136" s="74"/>
      <c r="D136" s="74"/>
      <c r="E136" s="74"/>
      <c r="F136" s="74"/>
      <c r="G136" s="74"/>
      <c r="H136" s="74"/>
    </row>
    <row r="137" spans="1:8" hidden="1">
      <c r="A137" s="73"/>
      <c r="B137" s="74"/>
      <c r="C137" s="74"/>
      <c r="D137" s="74"/>
      <c r="E137" s="74"/>
      <c r="F137" s="74"/>
      <c r="G137" s="74"/>
      <c r="H137" s="74"/>
    </row>
    <row r="138" spans="1:8" hidden="1">
      <c r="A138" s="73"/>
      <c r="B138" s="74"/>
      <c r="C138" s="74"/>
      <c r="D138" s="74"/>
      <c r="E138" s="74"/>
      <c r="F138" s="74"/>
      <c r="G138" s="74"/>
      <c r="H138" s="74"/>
    </row>
    <row r="139" spans="1:8" hidden="1">
      <c r="A139" s="72"/>
      <c r="B139" s="252"/>
      <c r="C139" s="252"/>
      <c r="D139" s="252"/>
      <c r="E139" s="252"/>
      <c r="F139" s="252"/>
      <c r="G139" s="252"/>
      <c r="H139" s="252"/>
    </row>
    <row r="140" spans="1:8" hidden="1">
      <c r="A140" s="72" t="s">
        <v>436</v>
      </c>
    </row>
    <row r="141" spans="1:8" hidden="1">
      <c r="A141" t="s">
        <v>513</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hidden="1">
      <c r="A142" t="s">
        <v>514</v>
      </c>
      <c r="B142" s="22">
        <f t="shared" si="20"/>
        <v>0</v>
      </c>
      <c r="C142" s="22">
        <f t="shared" si="20"/>
        <v>0</v>
      </c>
      <c r="D142" s="22">
        <f t="shared" ref="D142:H142" si="22">(D125*100)</f>
        <v>0</v>
      </c>
      <c r="E142" s="22">
        <f t="shared" si="22"/>
        <v>0</v>
      </c>
      <c r="F142" s="22">
        <f t="shared" si="22"/>
        <v>0</v>
      </c>
      <c r="G142" s="22">
        <f t="shared" si="22"/>
        <v>0</v>
      </c>
      <c r="H142" s="22">
        <f t="shared" si="22"/>
        <v>0</v>
      </c>
    </row>
    <row r="143" spans="1:8" hidden="1">
      <c r="A143" t="s">
        <v>515</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404" t="s">
        <v>776</v>
      </c>
      <c r="B147" s="404"/>
      <c r="C147" s="404"/>
      <c r="D147" s="404"/>
      <c r="E147" s="404"/>
      <c r="F147" s="404"/>
      <c r="G147" s="404"/>
      <c r="H147" s="404"/>
      <c r="I147" s="404"/>
      <c r="J147" s="404"/>
    </row>
    <row r="148" spans="1:10">
      <c r="A148" s="12"/>
      <c r="B148" s="12"/>
      <c r="C148" s="12"/>
      <c r="D148" s="12"/>
      <c r="E148" s="12"/>
      <c r="F148" s="12"/>
      <c r="G148" s="12"/>
      <c r="H148" s="12"/>
    </row>
    <row r="149" spans="1:10">
      <c r="A149" s="162"/>
      <c r="B149" s="162"/>
      <c r="C149" s="162"/>
      <c r="D149" s="163">
        <v>1</v>
      </c>
      <c r="E149" s="164">
        <f>(D149*5%)+D149</f>
        <v>1.05</v>
      </c>
      <c r="F149" s="164">
        <f t="shared" ref="F149:J149" si="24">(E149*5%)+E149</f>
        <v>1.1025</v>
      </c>
      <c r="G149" s="164">
        <f t="shared" si="24"/>
        <v>1.1576250000000001</v>
      </c>
      <c r="H149" s="164">
        <f t="shared" si="24"/>
        <v>1.2155062500000002</v>
      </c>
      <c r="I149" s="164">
        <f t="shared" si="24"/>
        <v>1.2762815625000004</v>
      </c>
      <c r="J149" s="164">
        <f t="shared" si="24"/>
        <v>1.3400956406250004</v>
      </c>
    </row>
    <row r="150" spans="1:10">
      <c r="A150" s="72"/>
      <c r="B150" s="72"/>
      <c r="C150" s="72"/>
      <c r="D150" s="72"/>
      <c r="E150" s="72"/>
      <c r="F150" s="72"/>
      <c r="G150" s="72"/>
      <c r="H150" s="72"/>
      <c r="I150" s="72"/>
      <c r="J150" s="72"/>
    </row>
    <row r="151" spans="1:10">
      <c r="A151" s="124" t="s">
        <v>0</v>
      </c>
      <c r="B151" s="124" t="s">
        <v>133</v>
      </c>
      <c r="C151" s="124" t="s">
        <v>152</v>
      </c>
      <c r="D151" s="96" t="s">
        <v>2</v>
      </c>
      <c r="E151" s="96" t="s">
        <v>3</v>
      </c>
      <c r="F151" s="96" t="s">
        <v>4</v>
      </c>
      <c r="G151" s="96" t="s">
        <v>5</v>
      </c>
      <c r="H151" s="96" t="s">
        <v>6</v>
      </c>
      <c r="I151" s="96" t="s">
        <v>168</v>
      </c>
      <c r="J151" s="96" t="s">
        <v>167</v>
      </c>
    </row>
    <row r="152" spans="1:10">
      <c r="A152" s="73"/>
      <c r="B152" s="73"/>
      <c r="C152" s="73"/>
      <c r="D152" s="73"/>
      <c r="E152" s="73"/>
      <c r="F152" s="73"/>
      <c r="G152" s="73"/>
      <c r="H152" s="73"/>
      <c r="I152" s="73"/>
      <c r="J152" s="73"/>
    </row>
    <row r="153" spans="1:10">
      <c r="A153" s="75" t="s">
        <v>127</v>
      </c>
      <c r="B153" s="75"/>
      <c r="C153" s="75"/>
      <c r="D153" s="90"/>
      <c r="E153" s="90"/>
      <c r="F153" s="90"/>
      <c r="G153" s="90"/>
      <c r="H153" s="90"/>
      <c r="I153" s="73"/>
      <c r="J153" s="73"/>
    </row>
    <row r="154" spans="1:10">
      <c r="A154" s="73" t="s">
        <v>772</v>
      </c>
      <c r="B154" s="194" t="s">
        <v>773</v>
      </c>
      <c r="C154" s="194">
        <f>60*50</f>
        <v>3000</v>
      </c>
      <c r="D154" s="74">
        <f>(((B67*100)/50)*(1-'5.Closing Stock &amp; W Capital'!$D$18)*$C154*D$149)</f>
        <v>0</v>
      </c>
      <c r="E154" s="74">
        <f>(((((C67*(1-'5.Closing Stock &amp; W Capital'!$D$18))+(B67*'5.Closing Stock &amp; W Capital'!$D$18))*100)/50)*$C154*E$149)</f>
        <v>0</v>
      </c>
      <c r="F154" s="74">
        <f>(((((D67*(1-'5.Closing Stock &amp; W Capital'!$D$18))+(C67*'5.Closing Stock &amp; W Capital'!$D$18))*100)/50)*$C154*F$149)</f>
        <v>0</v>
      </c>
      <c r="G154" s="74">
        <f>(((((E67*(1-'5.Closing Stock &amp; W Capital'!$D$18))+(D67*'5.Closing Stock &amp; W Capital'!$D$18))*100)/50)*$C154*G$149)</f>
        <v>0</v>
      </c>
      <c r="H154" s="74">
        <f>(((((F67*(1-'5.Closing Stock &amp; W Capital'!$D$18))+(E67*'5.Closing Stock &amp; W Capital'!$D$18))*100)/50)*$C154*H$149)</f>
        <v>0</v>
      </c>
      <c r="I154" s="74">
        <f>(((((G67*(1-'5.Closing Stock &amp; W Capital'!$D$18))+(F67*'5.Closing Stock &amp; W Capital'!$D$18))*100)/50)*$C154*I$149)</f>
        <v>0</v>
      </c>
      <c r="J154" s="74">
        <f>(((((H67*(1-'5.Closing Stock &amp; W Capital'!$D$18))+(G67*'5.Closing Stock &amp; W Capital'!$D$18))*100)/50)*$C154*J$149)</f>
        <v>0</v>
      </c>
    </row>
    <row r="155" spans="1:10">
      <c r="A155" s="73" t="s">
        <v>770</v>
      </c>
      <c r="B155" s="194" t="s">
        <v>774</v>
      </c>
      <c r="C155" s="194">
        <v>200</v>
      </c>
      <c r="D155" s="74">
        <f>B42*$C$155*D149</f>
        <v>0</v>
      </c>
      <c r="E155" s="74">
        <f t="shared" ref="E155:J155" si="25">C42*$C$155*E149</f>
        <v>0</v>
      </c>
      <c r="F155" s="74">
        <f t="shared" si="25"/>
        <v>0</v>
      </c>
      <c r="G155" s="74">
        <f t="shared" si="25"/>
        <v>0</v>
      </c>
      <c r="H155" s="74">
        <f t="shared" si="25"/>
        <v>0</v>
      </c>
      <c r="I155" s="74">
        <f t="shared" si="25"/>
        <v>0</v>
      </c>
      <c r="J155" s="74">
        <f t="shared" si="25"/>
        <v>0</v>
      </c>
    </row>
    <row r="156" spans="1:10">
      <c r="A156" s="73" t="str">
        <f>A126</f>
        <v>Pomegranate Powder</v>
      </c>
      <c r="B156" s="194" t="s">
        <v>354</v>
      </c>
      <c r="C156" s="194">
        <v>50</v>
      </c>
      <c r="D156" s="74">
        <f>(B143*(1-'5.Closing Stock &amp; W Capital'!$D$18)*$C156*D$149)</f>
        <v>0</v>
      </c>
      <c r="E156" s="74">
        <f>(((C143*(1-'5.Closing Stock &amp; W Capital'!$D$18))+(B143*'5.Closing Stock &amp; W Capital'!$D$18))*$C156*E$149)</f>
        <v>0</v>
      </c>
      <c r="F156" s="74">
        <f>(((D143*(1-'5.Closing Stock &amp; W Capital'!$D$18))+(C143*'5.Closing Stock &amp; W Capital'!$D$18))*$C156*F$149)</f>
        <v>0</v>
      </c>
      <c r="G156" s="74">
        <f>(((E143*(1-'5.Closing Stock &amp; W Capital'!$D$18))+(D143*'5.Closing Stock &amp; W Capital'!$D$18))*$C156*G$149)</f>
        <v>0</v>
      </c>
      <c r="H156" s="74">
        <f>(((F143*(1-'5.Closing Stock &amp; W Capital'!$D$18))+(E143*'5.Closing Stock &amp; W Capital'!$D$18))*$C156*H$149)</f>
        <v>0</v>
      </c>
      <c r="I156" s="74">
        <f>(((G143*(1-'5.Closing Stock &amp; W Capital'!$D$18))+(F143*'5.Closing Stock &amp; W Capital'!$D$18))*$C156*I$149)</f>
        <v>0</v>
      </c>
      <c r="J156" s="74">
        <f>(((H143*(1-'5.Closing Stock &amp; W Capital'!$D$18))+(G143*'5.Closing Stock &amp; W Capital'!$D$18))*$C156*J$149)</f>
        <v>0</v>
      </c>
    </row>
    <row r="157" spans="1:10">
      <c r="A157" s="73"/>
      <c r="B157" s="194"/>
      <c r="C157" s="194"/>
      <c r="D157" s="74"/>
      <c r="E157" s="74"/>
      <c r="F157" s="74"/>
      <c r="G157" s="74"/>
      <c r="H157" s="74"/>
      <c r="I157" s="74"/>
      <c r="J157" s="74"/>
    </row>
    <row r="158" spans="1:10">
      <c r="A158" s="73"/>
      <c r="B158" s="73"/>
      <c r="C158" s="73"/>
      <c r="D158" s="74"/>
      <c r="E158" s="74"/>
      <c r="F158" s="74"/>
      <c r="G158" s="74"/>
      <c r="H158" s="74"/>
      <c r="I158" s="74"/>
      <c r="J158" s="74"/>
    </row>
    <row r="159" spans="1:10">
      <c r="A159" s="75" t="s">
        <v>127</v>
      </c>
      <c r="B159" s="75"/>
      <c r="C159" s="75"/>
      <c r="D159" s="91">
        <f>SUM(D154:D158)</f>
        <v>0</v>
      </c>
      <c r="E159" s="91">
        <f t="shared" ref="E159:J159" si="26">SUM(E154:E158)</f>
        <v>0</v>
      </c>
      <c r="F159" s="91">
        <f t="shared" si="26"/>
        <v>0</v>
      </c>
      <c r="G159" s="91">
        <f t="shared" si="26"/>
        <v>0</v>
      </c>
      <c r="H159" s="91">
        <f t="shared" si="26"/>
        <v>0</v>
      </c>
      <c r="I159" s="91">
        <f t="shared" si="26"/>
        <v>0</v>
      </c>
      <c r="J159" s="91">
        <f t="shared" si="26"/>
        <v>0</v>
      </c>
    </row>
    <row r="160" spans="1:10">
      <c r="A160" s="73"/>
      <c r="B160" s="73"/>
      <c r="C160" s="73"/>
      <c r="D160" s="74"/>
      <c r="E160" s="74"/>
      <c r="F160" s="74"/>
      <c r="G160" s="74"/>
      <c r="H160" s="74"/>
      <c r="I160" s="74"/>
      <c r="J160" s="74"/>
    </row>
    <row r="161" spans="1:10">
      <c r="A161" s="75" t="s">
        <v>142</v>
      </c>
      <c r="B161" s="75"/>
      <c r="C161" s="75"/>
      <c r="D161" s="74"/>
      <c r="E161" s="74"/>
      <c r="F161" s="74"/>
      <c r="G161" s="74"/>
      <c r="H161" s="74"/>
      <c r="I161" s="74"/>
      <c r="J161" s="74"/>
    </row>
    <row r="162" spans="1:10">
      <c r="A162" s="75" t="s">
        <v>305</v>
      </c>
      <c r="B162" s="75"/>
      <c r="C162" s="73"/>
      <c r="D162" s="74"/>
      <c r="E162" s="74"/>
      <c r="F162" s="74"/>
      <c r="G162" s="74"/>
      <c r="H162" s="74"/>
      <c r="I162" s="74"/>
      <c r="J162" s="74"/>
    </row>
    <row r="163" spans="1:10">
      <c r="A163" s="73" t="s">
        <v>162</v>
      </c>
      <c r="B163" s="194" t="s">
        <v>355</v>
      </c>
      <c r="C163" s="214">
        <v>5000</v>
      </c>
      <c r="D163" s="74">
        <f>B44*$C$163*D149</f>
        <v>0</v>
      </c>
      <c r="E163" s="74">
        <f t="shared" ref="E163:J163" si="27">C44*$C$163*E149</f>
        <v>0</v>
      </c>
      <c r="F163" s="74">
        <f t="shared" si="27"/>
        <v>0</v>
      </c>
      <c r="G163" s="74">
        <f t="shared" si="27"/>
        <v>0</v>
      </c>
      <c r="H163" s="74">
        <f t="shared" si="27"/>
        <v>0</v>
      </c>
      <c r="I163" s="74">
        <f t="shared" si="27"/>
        <v>0</v>
      </c>
      <c r="J163" s="74">
        <f t="shared" si="27"/>
        <v>0</v>
      </c>
    </row>
    <row r="164" spans="1:10">
      <c r="A164" s="73" t="s">
        <v>516</v>
      </c>
      <c r="B164" s="194" t="s">
        <v>355</v>
      </c>
      <c r="C164" s="194">
        <v>2000</v>
      </c>
      <c r="D164" s="74">
        <f>(B62*10%)*$C164*D$149</f>
        <v>0</v>
      </c>
      <c r="E164" s="74">
        <f t="shared" ref="E164:J164" si="28">(C62*10%)*$C164*E$149</f>
        <v>0</v>
      </c>
      <c r="F164" s="74">
        <f t="shared" si="28"/>
        <v>0</v>
      </c>
      <c r="G164" s="74">
        <f t="shared" si="28"/>
        <v>0</v>
      </c>
      <c r="H164" s="74">
        <f t="shared" si="28"/>
        <v>0</v>
      </c>
      <c r="I164" s="74">
        <f t="shared" si="28"/>
        <v>0</v>
      </c>
      <c r="J164" s="74">
        <f t="shared" si="28"/>
        <v>0</v>
      </c>
    </row>
    <row r="165" spans="1:10">
      <c r="A165" s="73" t="s">
        <v>311</v>
      </c>
      <c r="B165" s="194"/>
      <c r="C165" s="194"/>
      <c r="D165" s="74">
        <f t="shared" ref="D165:J165" si="29">B12*$B$165*$C$165*D149</f>
        <v>0</v>
      </c>
      <c r="E165" s="74">
        <f t="shared" si="29"/>
        <v>0</v>
      </c>
      <c r="F165" s="74">
        <f t="shared" si="29"/>
        <v>0</v>
      </c>
      <c r="G165" s="74">
        <f t="shared" si="29"/>
        <v>0</v>
      </c>
      <c r="H165" s="74">
        <f t="shared" si="29"/>
        <v>0</v>
      </c>
      <c r="I165" s="74">
        <f t="shared" si="29"/>
        <v>0</v>
      </c>
      <c r="J165" s="74">
        <f t="shared" si="29"/>
        <v>0</v>
      </c>
    </row>
    <row r="166" spans="1:10">
      <c r="A166" s="73" t="s">
        <v>144</v>
      </c>
      <c r="B166" s="73"/>
      <c r="C166" s="194"/>
      <c r="D166" s="74">
        <f t="shared" ref="D166:J166" si="30">$B$166*$C$166*B12*D149</f>
        <v>0</v>
      </c>
      <c r="E166" s="74">
        <f t="shared" si="30"/>
        <v>0</v>
      </c>
      <c r="F166" s="74">
        <f t="shared" si="30"/>
        <v>0</v>
      </c>
      <c r="G166" s="74">
        <f t="shared" si="30"/>
        <v>0</v>
      </c>
      <c r="H166" s="74">
        <f t="shared" si="30"/>
        <v>0</v>
      </c>
      <c r="I166" s="74">
        <f t="shared" si="30"/>
        <v>0</v>
      </c>
      <c r="J166" s="74">
        <f t="shared" si="30"/>
        <v>0</v>
      </c>
    </row>
    <row r="167" spans="1:10">
      <c r="A167" s="73" t="s">
        <v>289</v>
      </c>
      <c r="B167" s="73" t="s">
        <v>355</v>
      </c>
      <c r="C167" s="194">
        <v>10</v>
      </c>
      <c r="D167" s="74">
        <f>B62*$C167*D$149</f>
        <v>0</v>
      </c>
      <c r="E167" s="74">
        <f t="shared" ref="E167:J167" si="31">C62*$C167*E$149</f>
        <v>0</v>
      </c>
      <c r="F167" s="74">
        <f t="shared" si="31"/>
        <v>0</v>
      </c>
      <c r="G167" s="74">
        <f t="shared" si="31"/>
        <v>0</v>
      </c>
      <c r="H167" s="74">
        <f t="shared" si="31"/>
        <v>0</v>
      </c>
      <c r="I167" s="74">
        <f t="shared" si="31"/>
        <v>0</v>
      </c>
      <c r="J167" s="74">
        <f t="shared" si="31"/>
        <v>0</v>
      </c>
    </row>
    <row r="168" spans="1:10">
      <c r="A168" s="85" t="s">
        <v>290</v>
      </c>
      <c r="B168" s="85"/>
      <c r="C168" s="216">
        <v>30</v>
      </c>
      <c r="D168" s="74">
        <f>((B67*100)/50)*$C$168*D149</f>
        <v>0</v>
      </c>
      <c r="E168" s="74">
        <f t="shared" ref="E168:J168" si="32">((C67*100)/50)*$C$168*E149</f>
        <v>0</v>
      </c>
      <c r="F168" s="74">
        <f t="shared" si="32"/>
        <v>0</v>
      </c>
      <c r="G168" s="74">
        <f t="shared" si="32"/>
        <v>0</v>
      </c>
      <c r="H168" s="74">
        <f t="shared" si="32"/>
        <v>0</v>
      </c>
      <c r="I168" s="74">
        <f t="shared" si="32"/>
        <v>0</v>
      </c>
      <c r="J168" s="74">
        <f t="shared" si="32"/>
        <v>0</v>
      </c>
    </row>
    <row r="169" spans="1:10">
      <c r="A169" s="73" t="s">
        <v>291</v>
      </c>
      <c r="B169" s="73"/>
      <c r="C169" s="194">
        <v>50</v>
      </c>
      <c r="D169" s="74">
        <f>B67*$C$169*D149</f>
        <v>0</v>
      </c>
      <c r="E169" s="74">
        <f t="shared" ref="E169:J169" si="33">C67*$C$169*E149</f>
        <v>0</v>
      </c>
      <c r="F169" s="74">
        <f t="shared" si="33"/>
        <v>0</v>
      </c>
      <c r="G169" s="74">
        <f t="shared" si="33"/>
        <v>0</v>
      </c>
      <c r="H169" s="74">
        <f t="shared" si="33"/>
        <v>0</v>
      </c>
      <c r="I169" s="74">
        <f t="shared" si="33"/>
        <v>0</v>
      </c>
      <c r="J169" s="74">
        <f t="shared" si="33"/>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5" t="s">
        <v>334</v>
      </c>
      <c r="B174" s="74"/>
      <c r="C174" s="74"/>
      <c r="D174" s="74"/>
      <c r="E174" s="74">
        <f>'5.Closing Stock &amp; W Capital'!F9</f>
        <v>0</v>
      </c>
      <c r="F174" s="74">
        <f>'5.Closing Stock &amp; W Capital'!G9</f>
        <v>0</v>
      </c>
      <c r="G174" s="74">
        <f>'5.Closing Stock &amp; W Capital'!H9</f>
        <v>0</v>
      </c>
      <c r="H174" s="74">
        <f>'5.Closing Stock &amp; W Capital'!I9</f>
        <v>0</v>
      </c>
      <c r="I174" s="74">
        <f>'5.Closing Stock &amp; W Capital'!J9</f>
        <v>0</v>
      </c>
      <c r="J174" s="74">
        <f>'5.Closing Stock &amp; W Capital'!K9</f>
        <v>0</v>
      </c>
    </row>
    <row r="175" spans="1:10">
      <c r="A175" s="165" t="s">
        <v>335</v>
      </c>
      <c r="B175" s="74"/>
      <c r="C175" s="74"/>
      <c r="D175" s="74">
        <f>'5.Closing Stock &amp; W Capital'!E18</f>
        <v>0</v>
      </c>
      <c r="E175" s="74">
        <f>'5.Closing Stock &amp; W Capital'!F18</f>
        <v>0</v>
      </c>
      <c r="F175" s="74">
        <f>'5.Closing Stock &amp; W Capital'!G18</f>
        <v>0</v>
      </c>
      <c r="G175" s="74">
        <f>'5.Closing Stock &amp; W Capital'!H18</f>
        <v>0</v>
      </c>
      <c r="H175" s="74">
        <f>'5.Closing Stock &amp; W Capital'!I18</f>
        <v>0</v>
      </c>
      <c r="I175" s="74">
        <f>'5.Closing Stock &amp; W Capital'!J18</f>
        <v>0</v>
      </c>
      <c r="J175" s="74">
        <f>'5.Closing Stock &amp; W Capital'!K18</f>
        <v>0</v>
      </c>
    </row>
    <row r="176" spans="1:10">
      <c r="A176" s="74"/>
      <c r="B176" s="74"/>
      <c r="C176" s="74"/>
      <c r="D176" s="74"/>
      <c r="E176" s="74"/>
      <c r="F176" s="74"/>
      <c r="G176" s="74"/>
      <c r="H176" s="74"/>
      <c r="I176" s="74"/>
      <c r="J176" s="74"/>
    </row>
    <row r="177" spans="1:10">
      <c r="A177" s="91" t="s">
        <v>312</v>
      </c>
      <c r="B177" s="74"/>
      <c r="C177" s="74"/>
      <c r="D177" s="91">
        <f t="shared" ref="D177:J177" si="34">SUM(D163:D174)-D175</f>
        <v>0</v>
      </c>
      <c r="E177" s="91">
        <f t="shared" si="34"/>
        <v>0</v>
      </c>
      <c r="F177" s="91">
        <f t="shared" si="34"/>
        <v>0</v>
      </c>
      <c r="G177" s="91">
        <f t="shared" si="34"/>
        <v>0</v>
      </c>
      <c r="H177" s="91">
        <f t="shared" si="34"/>
        <v>0</v>
      </c>
      <c r="I177" s="91">
        <f t="shared" si="34"/>
        <v>0</v>
      </c>
      <c r="J177" s="91">
        <f t="shared" si="34"/>
        <v>0</v>
      </c>
    </row>
    <row r="178" spans="1:10">
      <c r="A178" s="72"/>
      <c r="B178" s="72"/>
      <c r="C178" s="72"/>
      <c r="D178" s="72"/>
      <c r="E178" s="72"/>
      <c r="F178" s="72"/>
      <c r="G178" s="72"/>
      <c r="H178" s="72"/>
      <c r="I178" s="72"/>
      <c r="J178" s="72"/>
    </row>
    <row r="179" spans="1:10">
      <c r="A179" s="166" t="s">
        <v>304</v>
      </c>
      <c r="B179" s="166"/>
      <c r="C179" s="166"/>
      <c r="D179" s="91"/>
      <c r="E179" s="91"/>
      <c r="F179" s="91"/>
      <c r="G179" s="91"/>
      <c r="H179" s="91"/>
      <c r="I179" s="91"/>
      <c r="J179" s="91"/>
    </row>
    <row r="180" spans="1:10">
      <c r="A180" s="73" t="s">
        <v>184</v>
      </c>
      <c r="B180" s="194"/>
      <c r="C180" s="214">
        <v>10000</v>
      </c>
      <c r="D180" s="74">
        <f t="shared" ref="D180:J180" si="35">$B$180*$C$180*12*D149</f>
        <v>0</v>
      </c>
      <c r="E180" s="74">
        <f t="shared" si="35"/>
        <v>0</v>
      </c>
      <c r="F180" s="74">
        <f t="shared" si="35"/>
        <v>0</v>
      </c>
      <c r="G180" s="74">
        <f t="shared" si="35"/>
        <v>0</v>
      </c>
      <c r="H180" s="74">
        <f t="shared" si="35"/>
        <v>0</v>
      </c>
      <c r="I180" s="74">
        <f t="shared" si="35"/>
        <v>0</v>
      </c>
      <c r="J180" s="74">
        <f t="shared" si="35"/>
        <v>0</v>
      </c>
    </row>
    <row r="181" spans="1:10">
      <c r="A181" s="73" t="s">
        <v>189</v>
      </c>
      <c r="B181" s="194">
        <v>2</v>
      </c>
      <c r="C181" s="214"/>
      <c r="D181" s="74">
        <f t="shared" ref="D181:J181" si="36">$B$181*$C$181*12*D149</f>
        <v>0</v>
      </c>
      <c r="E181" s="74">
        <f t="shared" si="36"/>
        <v>0</v>
      </c>
      <c r="F181" s="74">
        <f t="shared" si="36"/>
        <v>0</v>
      </c>
      <c r="G181" s="74">
        <f t="shared" si="36"/>
        <v>0</v>
      </c>
      <c r="H181" s="74">
        <f t="shared" si="36"/>
        <v>0</v>
      </c>
      <c r="I181" s="74">
        <f t="shared" si="36"/>
        <v>0</v>
      </c>
      <c r="J181" s="74">
        <f t="shared" si="36"/>
        <v>0</v>
      </c>
    </row>
    <row r="182" spans="1:10">
      <c r="A182" s="73"/>
      <c r="B182" s="194"/>
      <c r="C182" s="214"/>
      <c r="D182" s="74"/>
      <c r="E182" s="74"/>
      <c r="F182" s="74"/>
      <c r="G182" s="74"/>
      <c r="H182" s="74"/>
      <c r="I182" s="74"/>
      <c r="J182" s="74"/>
    </row>
    <row r="183" spans="1:10">
      <c r="A183" s="73"/>
      <c r="B183" s="194"/>
      <c r="C183" s="214"/>
      <c r="D183" s="74"/>
      <c r="E183" s="74"/>
      <c r="F183" s="74"/>
      <c r="G183" s="74"/>
      <c r="H183" s="74"/>
      <c r="I183" s="74"/>
      <c r="J183" s="74"/>
    </row>
    <row r="184" spans="1:10">
      <c r="A184" s="73"/>
      <c r="B184" s="194"/>
      <c r="C184" s="214"/>
      <c r="D184" s="74"/>
      <c r="E184" s="74"/>
      <c r="F184" s="74"/>
      <c r="G184" s="74"/>
      <c r="H184" s="74"/>
      <c r="I184" s="74"/>
      <c r="J184" s="74"/>
    </row>
    <row r="185" spans="1:10">
      <c r="A185" s="75" t="s">
        <v>304</v>
      </c>
      <c r="B185" s="75"/>
      <c r="C185" s="75"/>
      <c r="D185" s="91">
        <f>SUM(D180:D184)</f>
        <v>0</v>
      </c>
      <c r="E185" s="91">
        <f t="shared" ref="E185:J185" si="37">SUM(E180:E184)</f>
        <v>0</v>
      </c>
      <c r="F185" s="91">
        <f t="shared" si="37"/>
        <v>0</v>
      </c>
      <c r="G185" s="91">
        <f t="shared" si="37"/>
        <v>0</v>
      </c>
      <c r="H185" s="91">
        <f t="shared" si="37"/>
        <v>0</v>
      </c>
      <c r="I185" s="91">
        <f t="shared" si="37"/>
        <v>0</v>
      </c>
      <c r="J185" s="91">
        <f t="shared" si="37"/>
        <v>0</v>
      </c>
    </row>
    <row r="186" spans="1:10">
      <c r="A186" s="166" t="s">
        <v>292</v>
      </c>
      <c r="B186" s="166"/>
      <c r="C186" s="166"/>
      <c r="D186" s="91">
        <f>D177+D185</f>
        <v>0</v>
      </c>
      <c r="E186" s="91">
        <f t="shared" ref="E186:J186" si="38">E177+E185</f>
        <v>0</v>
      </c>
      <c r="F186" s="91">
        <f t="shared" si="38"/>
        <v>0</v>
      </c>
      <c r="G186" s="91">
        <f t="shared" si="38"/>
        <v>0</v>
      </c>
      <c r="H186" s="91">
        <f t="shared" si="38"/>
        <v>0</v>
      </c>
      <c r="I186" s="91">
        <f t="shared" si="38"/>
        <v>0</v>
      </c>
      <c r="J186" s="91">
        <f t="shared" si="38"/>
        <v>0</v>
      </c>
    </row>
    <row r="187" spans="1:10">
      <c r="A187" s="73"/>
      <c r="B187" s="73"/>
      <c r="C187" s="73"/>
      <c r="D187" s="74"/>
      <c r="E187" s="74"/>
      <c r="F187" s="74"/>
      <c r="G187" s="74"/>
      <c r="H187" s="74"/>
      <c r="I187" s="74"/>
      <c r="J187" s="74"/>
    </row>
    <row r="188" spans="1:10">
      <c r="A188" s="75" t="s">
        <v>7</v>
      </c>
      <c r="B188" s="75"/>
      <c r="C188" s="75"/>
      <c r="D188" s="91">
        <f t="shared" ref="D188:J188" si="39">D159-D186</f>
        <v>0</v>
      </c>
      <c r="E188" s="91">
        <f t="shared" si="39"/>
        <v>0</v>
      </c>
      <c r="F188" s="91">
        <f t="shared" si="39"/>
        <v>0</v>
      </c>
      <c r="G188" s="91">
        <f t="shared" si="39"/>
        <v>0</v>
      </c>
      <c r="H188" s="91">
        <f t="shared" si="39"/>
        <v>0</v>
      </c>
      <c r="I188" s="91">
        <f t="shared" si="39"/>
        <v>0</v>
      </c>
      <c r="J188" s="91">
        <f t="shared" si="39"/>
        <v>0</v>
      </c>
    </row>
    <row r="189" spans="1:10">
      <c r="A189" s="92"/>
      <c r="B189" s="92"/>
      <c r="C189" s="92"/>
      <c r="D189" s="72"/>
      <c r="E189" s="72"/>
      <c r="F189" s="72"/>
      <c r="G189" s="72"/>
      <c r="H189" s="72"/>
      <c r="I189" s="72"/>
      <c r="J189" s="72"/>
    </row>
    <row r="190" spans="1:10">
      <c r="A190" s="72"/>
      <c r="B190" s="72"/>
      <c r="C190" s="72"/>
      <c r="D190" s="72"/>
      <c r="E190" s="72"/>
      <c r="F190" s="72"/>
      <c r="G190" s="72"/>
      <c r="H190" s="72"/>
      <c r="I190" s="72"/>
      <c r="J190" s="72"/>
    </row>
    <row r="191" spans="1:10">
      <c r="A191" s="72"/>
      <c r="B191" s="72"/>
      <c r="C191" s="72"/>
      <c r="D191" s="72"/>
      <c r="E191" s="72"/>
      <c r="F191" s="72"/>
      <c r="G191" s="72"/>
      <c r="H191" s="72"/>
      <c r="I191" s="72"/>
      <c r="J191" s="72"/>
    </row>
    <row r="192" spans="1:10">
      <c r="A192" s="406" t="s">
        <v>410</v>
      </c>
      <c r="B192" s="406"/>
      <c r="C192" s="406"/>
      <c r="D192" s="406"/>
      <c r="E192" s="406"/>
      <c r="F192" s="406"/>
      <c r="G192" s="406"/>
      <c r="H192" s="406"/>
      <c r="I192" s="406"/>
      <c r="J192" s="406"/>
    </row>
    <row r="194" spans="1:5">
      <c r="A194" t="s">
        <v>521</v>
      </c>
    </row>
    <row r="195" spans="1:5">
      <c r="A195">
        <v>1</v>
      </c>
      <c r="B195" t="s">
        <v>534</v>
      </c>
    </row>
    <row r="196" spans="1:5">
      <c r="A196">
        <v>2</v>
      </c>
      <c r="B196" t="s">
        <v>535</v>
      </c>
      <c r="C196" s="52"/>
      <c r="D196" s="52"/>
      <c r="E196" s="52"/>
    </row>
    <row r="197" spans="1:5">
      <c r="A197">
        <v>3</v>
      </c>
      <c r="B197" s="72" t="s">
        <v>579</v>
      </c>
    </row>
    <row r="199" spans="1:5">
      <c r="A199" t="s">
        <v>672</v>
      </c>
      <c r="B199" t="s">
        <v>674</v>
      </c>
    </row>
    <row r="200" spans="1:5">
      <c r="B200" t="s">
        <v>686</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CFDC-30E0-4CFA-B024-00A9A11AB8F7}">
  <dimension ref="A2:I282"/>
  <sheetViews>
    <sheetView topLeftCell="A167" workbookViewId="0">
      <selection activeCell="B176" sqref="B176"/>
    </sheetView>
  </sheetViews>
  <sheetFormatPr defaultRowHeight="15"/>
  <cols>
    <col min="1" max="1" width="39.42578125" bestFit="1" customWidth="1"/>
    <col min="2" max="2" width="16.7109375" bestFit="1" customWidth="1"/>
    <col min="3" max="3" width="15.7109375" bestFit="1" customWidth="1"/>
    <col min="4" max="4" width="15.140625" bestFit="1" customWidth="1"/>
    <col min="5" max="5" width="17.85546875" bestFit="1" customWidth="1"/>
    <col min="6" max="8" width="15.140625" bestFit="1" customWidth="1"/>
    <col min="9" max="9" width="11.28515625" bestFit="1" customWidth="1"/>
  </cols>
  <sheetData>
    <row r="2" spans="1:8" ht="18.75">
      <c r="A2" s="404" t="s">
        <v>546</v>
      </c>
      <c r="B2" s="404"/>
      <c r="C2" s="404"/>
      <c r="D2" s="404"/>
      <c r="E2" s="404"/>
      <c r="F2" s="404"/>
      <c r="G2" s="404"/>
      <c r="H2" s="404"/>
    </row>
    <row r="4" spans="1:8">
      <c r="B4" s="4"/>
      <c r="C4" s="4"/>
      <c r="D4" s="4"/>
      <c r="E4" s="4"/>
      <c r="F4" s="4"/>
    </row>
    <row r="5" spans="1:8">
      <c r="A5" s="124" t="s">
        <v>0</v>
      </c>
      <c r="B5" s="96" t="s">
        <v>2</v>
      </c>
      <c r="C5" s="96" t="s">
        <v>3</v>
      </c>
      <c r="D5" s="96" t="s">
        <v>4</v>
      </c>
      <c r="E5" s="96" t="s">
        <v>5</v>
      </c>
      <c r="F5" s="96" t="s">
        <v>6</v>
      </c>
      <c r="G5" s="96" t="s">
        <v>168</v>
      </c>
      <c r="H5" s="96" t="s">
        <v>167</v>
      </c>
    </row>
    <row r="6" spans="1:8">
      <c r="A6" s="75" t="s">
        <v>127</v>
      </c>
      <c r="B6" s="73"/>
      <c r="C6" s="73"/>
      <c r="D6" s="73"/>
      <c r="E6" s="73"/>
      <c r="F6" s="73"/>
      <c r="G6" s="73"/>
      <c r="H6" s="73"/>
    </row>
    <row r="7" spans="1:8">
      <c r="A7" s="73"/>
      <c r="B7" s="73"/>
      <c r="C7" s="73"/>
      <c r="D7" s="73"/>
      <c r="E7" s="73"/>
      <c r="F7" s="73"/>
      <c r="G7" s="73"/>
      <c r="H7" s="73"/>
    </row>
    <row r="8" spans="1:8">
      <c r="A8" s="73" t="s">
        <v>498</v>
      </c>
      <c r="B8" s="74">
        <f>'12.Facility 1 - Flour Mill'!D183</f>
        <v>23906058.093605995</v>
      </c>
      <c r="C8" s="74">
        <f>'12.Facility 1 - Flour Mill'!E183</f>
        <v>30606045.427735046</v>
      </c>
      <c r="D8" s="74">
        <f>'12.Facility 1 - Flour Mill'!F183</f>
        <v>36760282.619858757</v>
      </c>
      <c r="E8" s="74">
        <f>'12.Facility 1 - Flour Mill'!G183</f>
        <v>43453428.417625487</v>
      </c>
      <c r="F8" s="74">
        <f>'12.Facility 1 - Flour Mill'!H183</f>
        <v>50723988.088619255</v>
      </c>
      <c r="G8" s="74">
        <f>'12.Facility 1 - Flour Mill'!I183</f>
        <v>58612970.155668333</v>
      </c>
      <c r="H8" s="74">
        <f>'12.Facility 1 - Flour Mill'!J183</f>
        <v>67164040.45920077</v>
      </c>
    </row>
    <row r="9" spans="1:8">
      <c r="A9" s="73" t="s">
        <v>499</v>
      </c>
      <c r="B9" s="74">
        <f>'13.Facility 2 Cleaning &amp; Gradin'!D144</f>
        <v>25323936.622074995</v>
      </c>
      <c r="C9" s="74">
        <f>'13.Facility 2 Cleaning &amp; Gradin'!E144</f>
        <v>30491826.05984287</v>
      </c>
      <c r="D9" s="74">
        <f>'13.Facility 2 Cleaning &amp; Gradin'!F144</f>
        <v>34957344.743260145</v>
      </c>
      <c r="E9" s="74">
        <f>'13.Facility 2 Cleaning &amp; Gradin'!G144</f>
        <v>39793185.729869537</v>
      </c>
      <c r="F9" s="74">
        <f>'13.Facility 2 Cleaning &amp; Gradin'!H144</f>
        <v>45025217.453281716</v>
      </c>
      <c r="G9" s="74">
        <f>'13.Facility 2 Cleaning &amp; Gradin'!I144</f>
        <v>50680969.384710439</v>
      </c>
      <c r="H9" s="74">
        <f>'13.Facility 2 Cleaning &amp; Gradin'!J144</f>
        <v>56789733.465648837</v>
      </c>
    </row>
    <row r="10" spans="1:8">
      <c r="A10" s="73" t="s">
        <v>500</v>
      </c>
      <c r="B10" s="74">
        <f>'14. Facility 3 Warehouse'!D23</f>
        <v>1152000</v>
      </c>
      <c r="C10" s="74">
        <f>'14. Facility 3 Warehouse'!E23</f>
        <v>1285200.0000000002</v>
      </c>
      <c r="D10" s="74">
        <f>'14. Facility 3 Warehouse'!F23</f>
        <v>1428840.0000000002</v>
      </c>
      <c r="E10" s="74">
        <f>'14. Facility 3 Warehouse'!G23</f>
        <v>1583631.0000000007</v>
      </c>
      <c r="F10" s="74">
        <f>'14. Facility 3 Warehouse'!H23</f>
        <v>1750329.0000000009</v>
      </c>
      <c r="G10" s="74">
        <f>'14. Facility 3 Warehouse'!I23</f>
        <v>1837845.4500000011</v>
      </c>
      <c r="H10" s="74">
        <f>'14. Facility 3 Warehouse'!J23</f>
        <v>1929737.7225000013</v>
      </c>
    </row>
    <row r="11" spans="1:8">
      <c r="A11" s="73" t="s">
        <v>501</v>
      </c>
      <c r="B11" s="74">
        <f>'15. Facility 4 Custom Hiring'!E37</f>
        <v>0</v>
      </c>
      <c r="C11" s="74">
        <f>'15. Facility 4 Custom Hiring'!F37</f>
        <v>0</v>
      </c>
      <c r="D11" s="74">
        <f>'15. Facility 4 Custom Hiring'!G37</f>
        <v>0</v>
      </c>
      <c r="E11" s="74">
        <f>'15. Facility 4 Custom Hiring'!H37</f>
        <v>0</v>
      </c>
      <c r="F11" s="74">
        <f>'15. Facility 4 Custom Hiring'!I37</f>
        <v>0</v>
      </c>
      <c r="G11" s="74">
        <f>'15. Facility 4 Custom Hiring'!J37</f>
        <v>0</v>
      </c>
      <c r="H11" s="74">
        <f>'15. Facility 4 Custom Hiring'!K37</f>
        <v>0</v>
      </c>
    </row>
    <row r="12" spans="1:8">
      <c r="A12" s="73" t="s">
        <v>497</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row>
    <row r="13" spans="1:8">
      <c r="A13" s="73" t="s">
        <v>517</v>
      </c>
      <c r="B13" s="74">
        <f>'17.Facility 6 Roasted Channa '!D159</f>
        <v>0</v>
      </c>
      <c r="C13" s="74">
        <f>'17.Facility 6 Roasted Channa '!E159</f>
        <v>0</v>
      </c>
      <c r="D13" s="74">
        <f>'17.Facility 6 Roasted Channa '!F159</f>
        <v>0</v>
      </c>
      <c r="E13" s="74">
        <f>'17.Facility 6 Roasted Channa '!G159</f>
        <v>0</v>
      </c>
      <c r="F13" s="74">
        <f>'17.Facility 6 Roasted Channa '!H159</f>
        <v>0</v>
      </c>
      <c r="G13" s="74">
        <f>'17.Facility 6 Roasted Channa '!I159</f>
        <v>0</v>
      </c>
      <c r="H13" s="74">
        <f>'17.Facility 6 Roasted Channa '!J159</f>
        <v>0</v>
      </c>
    </row>
    <row r="14" spans="1:8">
      <c r="A14" s="73"/>
      <c r="B14" s="74"/>
      <c r="C14" s="74"/>
      <c r="D14" s="74"/>
      <c r="E14" s="74"/>
      <c r="F14" s="74"/>
      <c r="G14" s="74"/>
      <c r="H14" s="74"/>
    </row>
    <row r="15" spans="1:8">
      <c r="A15" s="75" t="s">
        <v>143</v>
      </c>
      <c r="B15" s="91">
        <f>SUM(B8:B14)</f>
        <v>50381994.715680987</v>
      </c>
      <c r="C15" s="91">
        <f t="shared" ref="C15:H15" si="0">SUM(C8:C14)</f>
        <v>62383071.487577915</v>
      </c>
      <c r="D15" s="91">
        <f t="shared" si="0"/>
        <v>73146467.363118902</v>
      </c>
      <c r="E15" s="91">
        <f t="shared" si="0"/>
        <v>84830245.147495031</v>
      </c>
      <c r="F15" s="91">
        <f t="shared" si="0"/>
        <v>97499534.541900963</v>
      </c>
      <c r="G15" s="91">
        <f t="shared" si="0"/>
        <v>111131784.99037878</v>
      </c>
      <c r="H15" s="91">
        <f t="shared" si="0"/>
        <v>125883511.6473496</v>
      </c>
    </row>
    <row r="16" spans="1:8">
      <c r="A16" s="73"/>
      <c r="B16" s="74"/>
      <c r="C16" s="74"/>
      <c r="D16" s="74"/>
      <c r="E16" s="74"/>
      <c r="F16" s="74"/>
      <c r="G16" s="74"/>
      <c r="H16" s="74"/>
    </row>
    <row r="17" spans="1:8">
      <c r="A17" s="75" t="s">
        <v>305</v>
      </c>
      <c r="B17" s="74"/>
      <c r="C17" s="74"/>
      <c r="D17" s="74"/>
      <c r="E17" s="74"/>
      <c r="F17" s="74"/>
      <c r="G17" s="74"/>
      <c r="H17" s="74"/>
    </row>
    <row r="18" spans="1:8">
      <c r="A18" s="73" t="str">
        <f t="shared" ref="A18:A23" si="1">A8</f>
        <v>Faclitiy 1 - Cleaning &amp; Grading</v>
      </c>
      <c r="B18" s="74">
        <f>'12.Facility 1 - Flour Mill'!D201</f>
        <v>21413146.257082801</v>
      </c>
      <c r="C18" s="74">
        <f>'12.Facility 1 - Flour Mill'!E201</f>
        <v>27316226.507694628</v>
      </c>
      <c r="D18" s="74">
        <f>'12.Facility 1 - Flour Mill'!F201</f>
        <v>32767745.68983439</v>
      </c>
      <c r="E18" s="74">
        <f>'12.Facility 1 - Flour Mill'!G201</f>
        <v>38696126.223918885</v>
      </c>
      <c r="F18" s="74">
        <f>'12.Facility 1 - Flour Mill'!H201</f>
        <v>45135425.447187245</v>
      </c>
      <c r="G18" s="74">
        <f>'12.Facility 1 - Flour Mill'!I201</f>
        <v>52121914.277222648</v>
      </c>
      <c r="H18" s="74">
        <f>'12.Facility 1 - Flour Mill'!J201</f>
        <v>59694213.426643625</v>
      </c>
    </row>
    <row r="19" spans="1:8">
      <c r="A19" s="73" t="str">
        <f t="shared" si="1"/>
        <v>Faclitiy 2 - Processing Unit- Dal Mill</v>
      </c>
      <c r="B19" s="74">
        <f>'13.Facility 2 Cleaning &amp; Gradin'!D163</f>
        <v>22447378.907417741</v>
      </c>
      <c r="C19" s="74">
        <f>'13.Facility 2 Cleaning &amp; Gradin'!E163</f>
        <v>26334151.921036001</v>
      </c>
      <c r="D19" s="74">
        <f>'13.Facility 2 Cleaning &amp; Gradin'!F163</f>
        <v>30171836.894686028</v>
      </c>
      <c r="E19" s="74">
        <f>'13.Facility 2 Cleaning &amp; Gradin'!G163</f>
        <v>34327454.98589848</v>
      </c>
      <c r="F19" s="74">
        <f>'13.Facility 2 Cleaning &amp; Gradin'!H163</f>
        <v>38823205.293995447</v>
      </c>
      <c r="G19" s="74">
        <f>'13.Facility 2 Cleaning &amp; Gradin'!I163</f>
        <v>43682711.995437391</v>
      </c>
      <c r="H19" s="74">
        <f>'13.Facility 2 Cleaning &amp; Gradin'!J163</f>
        <v>48931111.353788517</v>
      </c>
    </row>
    <row r="20" spans="1:8">
      <c r="A20" s="73" t="str">
        <f t="shared" si="1"/>
        <v>Faclitiy 3 - Warehouse</v>
      </c>
      <c r="B20" s="74">
        <f>'14. Facility 3 Warehouse'!D34</f>
        <v>419000</v>
      </c>
      <c r="C20" s="74">
        <f>'14. Facility 3 Warehouse'!E34</f>
        <v>439950</v>
      </c>
      <c r="D20" s="74">
        <f>'14. Facility 3 Warehouse'!F34</f>
        <v>461947.5</v>
      </c>
      <c r="E20" s="74">
        <f>'14. Facility 3 Warehouse'!G34</f>
        <v>485044.87500000006</v>
      </c>
      <c r="F20" s="74">
        <f>'14. Facility 3 Warehouse'!H34</f>
        <v>509297.11875000002</v>
      </c>
      <c r="G20" s="74">
        <f>'14. Facility 3 Warehouse'!I34</f>
        <v>534761.97468750016</v>
      </c>
      <c r="H20" s="74">
        <f>'14. Facility 3 Warehouse'!J34</f>
        <v>561500.07342187513</v>
      </c>
    </row>
    <row r="21" spans="1:8">
      <c r="A21" s="73" t="str">
        <f t="shared" si="1"/>
        <v xml:space="preserve">Faclitiy 4 - Custom Hiring </v>
      </c>
      <c r="B21" s="74">
        <f>'15. Facility 4 Custom Hiring'!E47</f>
        <v>0</v>
      </c>
      <c r="C21" s="74">
        <f>'15. Facility 4 Custom Hiring'!F47</f>
        <v>0</v>
      </c>
      <c r="D21" s="74">
        <f>'15. Facility 4 Custom Hiring'!G47</f>
        <v>0</v>
      </c>
      <c r="E21" s="74">
        <f>'15. Facility 4 Custom Hiring'!H47</f>
        <v>0</v>
      </c>
      <c r="F21" s="74">
        <f>'15. Facility 4 Custom Hiring'!I47</f>
        <v>0</v>
      </c>
      <c r="G21" s="74">
        <f>'15. Facility 4 Custom Hiring'!J47</f>
        <v>0</v>
      </c>
      <c r="H21" s="74">
        <f>'15. Facility 4 Custom Hiring'!K47</f>
        <v>0</v>
      </c>
    </row>
    <row r="22" spans="1:8">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8">
      <c r="A23" s="73" t="str">
        <f t="shared" si="1"/>
        <v>Facility 6 - Processing Unit - Horti Commodity</v>
      </c>
      <c r="B23" s="74">
        <f>'17.Facility 6 Roasted Channa '!D177</f>
        <v>0</v>
      </c>
      <c r="C23" s="74">
        <f>'17.Facility 6 Roasted Channa '!E177</f>
        <v>0</v>
      </c>
      <c r="D23" s="74">
        <f>'17.Facility 6 Roasted Channa '!F177</f>
        <v>0</v>
      </c>
      <c r="E23" s="74">
        <f>'17.Facility 6 Roasted Channa '!G177</f>
        <v>0</v>
      </c>
      <c r="F23" s="74">
        <f>'17.Facility 6 Roasted Channa '!H177</f>
        <v>0</v>
      </c>
      <c r="G23" s="74">
        <f>'17.Facility 6 Roasted Channa '!I177</f>
        <v>0</v>
      </c>
      <c r="H23" s="74">
        <f>'17.Facility 6 Roasted Channa '!J177</f>
        <v>0</v>
      </c>
    </row>
    <row r="24" spans="1:8">
      <c r="A24" s="73"/>
      <c r="B24" s="74"/>
      <c r="C24" s="74"/>
      <c r="D24" s="74"/>
      <c r="E24" s="74"/>
      <c r="F24" s="74"/>
      <c r="G24" s="74"/>
      <c r="H24" s="74"/>
    </row>
    <row r="25" spans="1:8">
      <c r="A25" s="75" t="s">
        <v>312</v>
      </c>
      <c r="B25" s="91">
        <f>SUM(B18:B24)</f>
        <v>44279525.164500542</v>
      </c>
      <c r="C25" s="91">
        <f t="shared" ref="C25:H25" si="2">SUM(C18:C24)</f>
        <v>54090328.428730629</v>
      </c>
      <c r="D25" s="91">
        <f t="shared" si="2"/>
        <v>63401530.084520414</v>
      </c>
      <c r="E25" s="91">
        <f t="shared" si="2"/>
        <v>73508626.084817365</v>
      </c>
      <c r="F25" s="91">
        <f t="shared" si="2"/>
        <v>84467927.859932691</v>
      </c>
      <c r="G25" s="91">
        <f t="shared" si="2"/>
        <v>96339388.247347549</v>
      </c>
      <c r="H25" s="91">
        <f t="shared" si="2"/>
        <v>109186824.85385402</v>
      </c>
    </row>
    <row r="26" spans="1:8">
      <c r="A26" s="73"/>
      <c r="B26" s="74"/>
      <c r="C26" s="74"/>
      <c r="D26" s="74"/>
      <c r="E26" s="74"/>
      <c r="F26" s="74"/>
      <c r="G26" s="74"/>
      <c r="H26" s="74"/>
    </row>
    <row r="27" spans="1:8">
      <c r="A27" s="75" t="s">
        <v>304</v>
      </c>
      <c r="B27" s="74"/>
      <c r="C27" s="74"/>
      <c r="D27" s="74"/>
      <c r="E27" s="74"/>
      <c r="F27" s="74"/>
      <c r="G27" s="74"/>
      <c r="H27" s="74"/>
    </row>
    <row r="28" spans="1:8">
      <c r="A28" s="73" t="str">
        <f t="shared" ref="A28:A33" si="3">A18</f>
        <v>Faclitiy 1 - Cleaning &amp; Grading</v>
      </c>
      <c r="B28" s="74">
        <f>'12.Facility 1 - Flour Mill'!D208</f>
        <v>240000</v>
      </c>
      <c r="C28" s="74">
        <f>'12.Facility 1 - Flour Mill'!E208</f>
        <v>252000</v>
      </c>
      <c r="D28" s="74">
        <f>'12.Facility 1 - Flour Mill'!F208</f>
        <v>264600</v>
      </c>
      <c r="E28" s="74">
        <f>'12.Facility 1 - Flour Mill'!G208</f>
        <v>277830.00000000006</v>
      </c>
      <c r="F28" s="74">
        <f>'12.Facility 1 - Flour Mill'!H208</f>
        <v>291721.50000000006</v>
      </c>
      <c r="G28" s="74">
        <f>'12.Facility 1 - Flour Mill'!I208</f>
        <v>306307.57500000007</v>
      </c>
      <c r="H28" s="74">
        <f>'12.Facility 1 - Flour Mill'!J208</f>
        <v>321622.9537500001</v>
      </c>
    </row>
    <row r="29" spans="1:8">
      <c r="A29" s="73" t="str">
        <f t="shared" si="3"/>
        <v>Faclitiy 2 - Processing Unit- Dal Mill</v>
      </c>
      <c r="B29" s="74">
        <f>'13.Facility 2 Cleaning &amp; Gradin'!D170</f>
        <v>240000</v>
      </c>
      <c r="C29" s="74">
        <f>'13.Facility 2 Cleaning &amp; Gradin'!E170</f>
        <v>252000</v>
      </c>
      <c r="D29" s="74">
        <f>'13.Facility 2 Cleaning &amp; Gradin'!F170</f>
        <v>264600</v>
      </c>
      <c r="E29" s="74">
        <f>'13.Facility 2 Cleaning &amp; Gradin'!G170</f>
        <v>277830.00000000006</v>
      </c>
      <c r="F29" s="74">
        <f>'13.Facility 2 Cleaning &amp; Gradin'!H170</f>
        <v>291721.5</v>
      </c>
      <c r="G29" s="74">
        <f>'13.Facility 2 Cleaning &amp; Gradin'!I170</f>
        <v>306307.57500000007</v>
      </c>
      <c r="H29" s="74">
        <f>'13.Facility 2 Cleaning &amp; Gradin'!J170</f>
        <v>321622.9537500001</v>
      </c>
    </row>
    <row r="30" spans="1:8">
      <c r="A30" s="73" t="str">
        <f t="shared" si="3"/>
        <v>Faclitiy 3 - Warehouse</v>
      </c>
      <c r="B30" s="74">
        <f>'14. Facility 3 Warehouse'!D43</f>
        <v>120000</v>
      </c>
      <c r="C30" s="74">
        <f>'14. Facility 3 Warehouse'!E43</f>
        <v>126000</v>
      </c>
      <c r="D30" s="74">
        <f>'14. Facility 3 Warehouse'!F43</f>
        <v>132300</v>
      </c>
      <c r="E30" s="74">
        <f>'14. Facility 3 Warehouse'!G43</f>
        <v>138915.00000000003</v>
      </c>
      <c r="F30" s="74">
        <f>'14. Facility 3 Warehouse'!H43</f>
        <v>145860.75000000003</v>
      </c>
      <c r="G30" s="74">
        <f>'14. Facility 3 Warehouse'!I43</f>
        <v>153153.78750000003</v>
      </c>
      <c r="H30" s="74">
        <f>'14. Facility 3 Warehouse'!J43</f>
        <v>160811.47687500005</v>
      </c>
    </row>
    <row r="31" spans="1:8">
      <c r="A31" s="73" t="str">
        <f t="shared" si="3"/>
        <v xml:space="preserve">Faclitiy 4 - Custom Hiring </v>
      </c>
      <c r="B31" s="74">
        <f>'15. Facility 4 Custom Hiring'!E52</f>
        <v>0</v>
      </c>
      <c r="C31" s="74">
        <f>'15. Facility 4 Custom Hiring'!F52</f>
        <v>0</v>
      </c>
      <c r="D31" s="74">
        <f>'15. Facility 4 Custom Hiring'!G52</f>
        <v>0</v>
      </c>
      <c r="E31" s="74">
        <f>'15. Facility 4 Custom Hiring'!H52</f>
        <v>0</v>
      </c>
      <c r="F31" s="74">
        <f>'15. Facility 4 Custom Hiring'!I52</f>
        <v>0</v>
      </c>
      <c r="G31" s="74">
        <f>'15. Facility 4 Custom Hiring'!J52</f>
        <v>0</v>
      </c>
      <c r="H31" s="74">
        <f>'15. Facility 4 Custom Hiring'!K52</f>
        <v>0</v>
      </c>
    </row>
    <row r="32" spans="1:8">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8">
      <c r="A33" s="73" t="str">
        <f t="shared" si="3"/>
        <v>Facility 6 - Processing Unit - Horti Commodity</v>
      </c>
      <c r="B33" s="74">
        <f>'17.Facility 6 Roasted Channa '!D185</f>
        <v>0</v>
      </c>
      <c r="C33" s="74">
        <f>'17.Facility 6 Roasted Channa '!E185</f>
        <v>0</v>
      </c>
      <c r="D33" s="74">
        <f>'17.Facility 6 Roasted Channa '!F185</f>
        <v>0</v>
      </c>
      <c r="E33" s="74">
        <f>'17.Facility 6 Roasted Channa '!G185</f>
        <v>0</v>
      </c>
      <c r="F33" s="74">
        <f>'17.Facility 6 Roasted Channa '!H185</f>
        <v>0</v>
      </c>
      <c r="G33" s="74">
        <f>'17.Facility 6 Roasted Channa '!I185</f>
        <v>0</v>
      </c>
      <c r="H33" s="74">
        <f>'17.Facility 6 Roasted Channa '!J185</f>
        <v>0</v>
      </c>
    </row>
    <row r="34" spans="1:8">
      <c r="A34" s="73"/>
      <c r="B34" s="74"/>
      <c r="C34" s="74"/>
      <c r="D34" s="74"/>
      <c r="E34" s="74"/>
      <c r="F34" s="74"/>
      <c r="G34" s="74"/>
      <c r="H34" s="74"/>
    </row>
    <row r="35" spans="1:8">
      <c r="A35" s="73" t="s">
        <v>9</v>
      </c>
      <c r="B35" s="74">
        <f>'3.Other Exp &amp; Taxes'!E24</f>
        <v>1612000</v>
      </c>
      <c r="C35" s="74">
        <f>'3.Other Exp &amp; Taxes'!F24</f>
        <v>1692600</v>
      </c>
      <c r="D35" s="74">
        <f>'3.Other Exp &amp; Taxes'!G24</f>
        <v>1777230</v>
      </c>
      <c r="E35" s="74">
        <f>'3.Other Exp &amp; Taxes'!H24</f>
        <v>1866091.5000000002</v>
      </c>
      <c r="F35" s="74">
        <f>'3.Other Exp &amp; Taxes'!I24</f>
        <v>1959396.0750000002</v>
      </c>
      <c r="G35" s="74">
        <f>'3.Other Exp &amp; Taxes'!J24</f>
        <v>2057365.8787500004</v>
      </c>
      <c r="H35" s="74">
        <f>'3.Other Exp &amp; Taxes'!K24</f>
        <v>2160234.1726875007</v>
      </c>
    </row>
    <row r="36" spans="1:8">
      <c r="A36" s="75" t="s">
        <v>316</v>
      </c>
      <c r="B36" s="91">
        <f t="shared" ref="B36:H36" si="4">SUM(B28:B35)</f>
        <v>2212000</v>
      </c>
      <c r="C36" s="91">
        <f t="shared" si="4"/>
        <v>2322600</v>
      </c>
      <c r="D36" s="91">
        <f t="shared" si="4"/>
        <v>2438730</v>
      </c>
      <c r="E36" s="91">
        <f t="shared" si="4"/>
        <v>2560666.5000000005</v>
      </c>
      <c r="F36" s="91">
        <f t="shared" si="4"/>
        <v>2688699.8250000002</v>
      </c>
      <c r="G36" s="91">
        <f t="shared" si="4"/>
        <v>2823134.8162500006</v>
      </c>
      <c r="H36" s="91">
        <f t="shared" si="4"/>
        <v>2964291.5570625011</v>
      </c>
    </row>
    <row r="37" spans="1:8">
      <c r="A37" s="73"/>
      <c r="B37" s="74"/>
      <c r="C37" s="74"/>
      <c r="D37" s="74"/>
      <c r="E37" s="74"/>
      <c r="F37" s="74"/>
      <c r="G37" s="74"/>
      <c r="H37" s="74"/>
    </row>
    <row r="38" spans="1:8">
      <c r="A38" s="75" t="s">
        <v>321</v>
      </c>
      <c r="B38" s="91">
        <f t="shared" ref="B38:H38" si="5">B25+B36</f>
        <v>46491525.164500542</v>
      </c>
      <c r="C38" s="91">
        <f t="shared" si="5"/>
        <v>56412928.428730629</v>
      </c>
      <c r="D38" s="91">
        <f t="shared" si="5"/>
        <v>65840260.084520414</v>
      </c>
      <c r="E38" s="91">
        <f t="shared" si="5"/>
        <v>76069292.584817365</v>
      </c>
      <c r="F38" s="91">
        <f t="shared" si="5"/>
        <v>87156627.684932694</v>
      </c>
      <c r="G38" s="91">
        <f t="shared" si="5"/>
        <v>99162523.063597545</v>
      </c>
      <c r="H38" s="91">
        <f t="shared" si="5"/>
        <v>112151116.41091652</v>
      </c>
    </row>
    <row r="39" spans="1:8">
      <c r="A39" s="73"/>
      <c r="B39" s="74"/>
      <c r="C39" s="74"/>
      <c r="D39" s="74"/>
      <c r="E39" s="74"/>
      <c r="F39" s="74"/>
      <c r="G39" s="74"/>
      <c r="H39" s="74"/>
    </row>
    <row r="40" spans="1:8">
      <c r="A40" s="75" t="s">
        <v>137</v>
      </c>
      <c r="B40" s="91">
        <f t="shared" ref="B40:H40" si="6">B15-B38</f>
        <v>3890469.5511804447</v>
      </c>
      <c r="C40" s="91">
        <f t="shared" si="6"/>
        <v>5970143.0588472858</v>
      </c>
      <c r="D40" s="91">
        <f t="shared" si="6"/>
        <v>7306207.2785984874</v>
      </c>
      <c r="E40" s="91">
        <f t="shared" si="6"/>
        <v>8760952.5626776665</v>
      </c>
      <c r="F40" s="91">
        <f t="shared" si="6"/>
        <v>10342906.856968269</v>
      </c>
      <c r="G40" s="91">
        <f t="shared" si="6"/>
        <v>11969261.926781237</v>
      </c>
      <c r="H40" s="91">
        <f t="shared" si="6"/>
        <v>13732395.236433074</v>
      </c>
    </row>
    <row r="41" spans="1:8">
      <c r="A41" s="73"/>
      <c r="B41" s="74"/>
      <c r="C41" s="74"/>
      <c r="D41" s="74"/>
      <c r="E41" s="74"/>
      <c r="F41" s="74"/>
      <c r="G41" s="74"/>
      <c r="H41" s="74"/>
    </row>
    <row r="42" spans="1:8">
      <c r="A42" s="73" t="s">
        <v>17</v>
      </c>
      <c r="B42" s="74">
        <f>'3.Other Exp &amp; Taxes'!C67</f>
        <v>1252517.731892</v>
      </c>
      <c r="C42" s="74">
        <f>'3.Other Exp &amp; Taxes'!D67</f>
        <v>1252517.731892</v>
      </c>
      <c r="D42" s="74">
        <f>'3.Other Exp &amp; Taxes'!E67</f>
        <v>1252517.731892</v>
      </c>
      <c r="E42" s="74">
        <f>'3.Other Exp &amp; Taxes'!F67</f>
        <v>1252517.731892</v>
      </c>
      <c r="F42" s="74">
        <f>'3.Other Exp &amp; Taxes'!G67</f>
        <v>1252517.731892</v>
      </c>
      <c r="G42" s="74">
        <f>'3.Other Exp &amp; Taxes'!H67</f>
        <v>1252517.731892</v>
      </c>
      <c r="H42" s="74">
        <f>'3.Other Exp &amp; Taxes'!I67</f>
        <v>1252517.731892</v>
      </c>
    </row>
    <row r="43" spans="1:8">
      <c r="A43" s="73" t="s">
        <v>138</v>
      </c>
      <c r="B43" s="74">
        <f>'3.Other Exp &amp; Taxes'!C88</f>
        <v>27000</v>
      </c>
      <c r="C43" s="74">
        <f>'3.Other Exp &amp; Taxes'!D88</f>
        <v>27000</v>
      </c>
      <c r="D43" s="74">
        <f>'3.Other Exp &amp; Taxes'!E88</f>
        <v>27000</v>
      </c>
      <c r="E43" s="74">
        <f>'3.Other Exp &amp; Taxes'!F88</f>
        <v>27000</v>
      </c>
      <c r="F43" s="74">
        <f>'3.Other Exp &amp; Taxes'!G88</f>
        <v>27000</v>
      </c>
      <c r="G43" s="74">
        <f>'3.Other Exp &amp; Taxes'!H88</f>
        <v>0</v>
      </c>
      <c r="H43" s="74">
        <f>'3.Other Exp &amp; Taxes'!I88</f>
        <v>0</v>
      </c>
    </row>
    <row r="44" spans="1:8">
      <c r="A44" s="73"/>
      <c r="B44" s="74"/>
      <c r="C44" s="74"/>
      <c r="D44" s="74"/>
      <c r="E44" s="74"/>
      <c r="F44" s="74"/>
      <c r="G44" s="74"/>
      <c r="H44" s="74"/>
    </row>
    <row r="45" spans="1:8">
      <c r="A45" s="75" t="s">
        <v>139</v>
      </c>
      <c r="B45" s="91">
        <f>B40-B42-B43</f>
        <v>2610951.8192884447</v>
      </c>
      <c r="C45" s="91">
        <f t="shared" ref="C45:H45" si="7">C40-C42-C43</f>
        <v>4690625.3269552859</v>
      </c>
      <c r="D45" s="91">
        <f t="shared" si="7"/>
        <v>6026689.5467064874</v>
      </c>
      <c r="E45" s="91">
        <f t="shared" si="7"/>
        <v>7481434.8307856666</v>
      </c>
      <c r="F45" s="91">
        <f t="shared" si="7"/>
        <v>9063389.1250762679</v>
      </c>
      <c r="G45" s="91">
        <f t="shared" si="7"/>
        <v>10716744.194889236</v>
      </c>
      <c r="H45" s="91">
        <f t="shared" si="7"/>
        <v>12479877.504541073</v>
      </c>
    </row>
    <row r="46" spans="1:8">
      <c r="A46" s="73"/>
      <c r="B46" s="74"/>
      <c r="C46" s="74"/>
      <c r="D46" s="74"/>
      <c r="E46" s="74"/>
      <c r="F46" s="74"/>
      <c r="G46" s="74"/>
      <c r="H46" s="74"/>
    </row>
    <row r="47" spans="1:8">
      <c r="A47" s="73" t="s">
        <v>689</v>
      </c>
      <c r="B47" s="74" t="e">
        <f>SUM(D76:D87)+'8.Cash Flow '!C29</f>
        <v>#REF!</v>
      </c>
      <c r="C47" s="74" t="e">
        <f>SUM(D88:D99)+'8.Cash Flow '!D29</f>
        <v>#REF!</v>
      </c>
      <c r="D47" s="74" t="e">
        <f>SUM(D100:D111)+'8.Cash Flow '!E29</f>
        <v>#REF!</v>
      </c>
      <c r="E47" s="74" t="e">
        <f>SUM(D112:D123)+'8.Cash Flow '!F29</f>
        <v>#REF!</v>
      </c>
      <c r="F47" s="74" t="e">
        <f>SUM(D124:D135)+'8.Cash Flow '!G29</f>
        <v>#REF!</v>
      </c>
      <c r="G47" s="74" t="e">
        <f>SUM(D136:D147)+'8.Cash Flow '!H29</f>
        <v>#REF!</v>
      </c>
      <c r="H47" s="74" t="e">
        <f>SUM(D148:D159)+'8.Cash Flow '!I29</f>
        <v>#REF!</v>
      </c>
    </row>
    <row r="48" spans="1:8">
      <c r="A48" s="73"/>
      <c r="B48" s="74"/>
      <c r="C48" s="74"/>
      <c r="D48" s="74"/>
      <c r="E48" s="74"/>
      <c r="F48" s="74"/>
      <c r="G48" s="74"/>
      <c r="H48" s="74"/>
    </row>
    <row r="49" spans="1:8">
      <c r="A49" s="73" t="s">
        <v>25</v>
      </c>
      <c r="B49" s="74" t="e">
        <f>B45-B47</f>
        <v>#REF!</v>
      </c>
      <c r="C49" s="74" t="e">
        <f t="shared" ref="C49:H49" si="8">C45-C47</f>
        <v>#REF!</v>
      </c>
      <c r="D49" s="74" t="e">
        <f t="shared" si="8"/>
        <v>#REF!</v>
      </c>
      <c r="E49" s="74" t="e">
        <f t="shared" si="8"/>
        <v>#REF!</v>
      </c>
      <c r="F49" s="74" t="e">
        <f t="shared" si="8"/>
        <v>#REF!</v>
      </c>
      <c r="G49" s="74" t="e">
        <f t="shared" si="8"/>
        <v>#REF!</v>
      </c>
      <c r="H49" s="74" t="e">
        <f t="shared" si="8"/>
        <v>#REF!</v>
      </c>
    </row>
    <row r="50" spans="1:8">
      <c r="A50" s="73" t="s">
        <v>26</v>
      </c>
      <c r="B50" s="326" t="e">
        <f>B61</f>
        <v>#REF!</v>
      </c>
      <c r="C50" s="326" t="e">
        <f t="shared" ref="C50:H50" si="9">C61</f>
        <v>#REF!</v>
      </c>
      <c r="D50" s="326" t="e">
        <f t="shared" si="9"/>
        <v>#REF!</v>
      </c>
      <c r="E50" s="326" t="e">
        <f t="shared" si="9"/>
        <v>#REF!</v>
      </c>
      <c r="F50" s="326" t="e">
        <f t="shared" si="9"/>
        <v>#REF!</v>
      </c>
      <c r="G50" s="326" t="e">
        <f t="shared" si="9"/>
        <v>#REF!</v>
      </c>
      <c r="H50" s="326" t="e">
        <f t="shared" si="9"/>
        <v>#REF!</v>
      </c>
    </row>
    <row r="51" spans="1:8">
      <c r="A51" s="75" t="s">
        <v>28</v>
      </c>
      <c r="B51" s="74" t="e">
        <f>B49-B50</f>
        <v>#REF!</v>
      </c>
      <c r="C51" s="74" t="e">
        <f>C49-C50</f>
        <v>#REF!</v>
      </c>
      <c r="D51" s="74" t="e">
        <f>D49-D50</f>
        <v>#REF!</v>
      </c>
      <c r="E51" s="74" t="e">
        <f>E49-E50</f>
        <v>#REF!</v>
      </c>
      <c r="F51" s="74" t="e">
        <f>F49-F50</f>
        <v>#REF!</v>
      </c>
      <c r="G51" s="74" t="e">
        <f t="shared" ref="G51:H51" si="10">G49-G50</f>
        <v>#REF!</v>
      </c>
      <c r="H51" s="74" t="e">
        <f t="shared" si="10"/>
        <v>#REF!</v>
      </c>
    </row>
    <row r="53" spans="1:8">
      <c r="A53" s="24"/>
      <c r="B53" s="25"/>
      <c r="C53" s="25"/>
      <c r="D53" s="25"/>
      <c r="E53" s="25"/>
      <c r="F53" s="25"/>
      <c r="G53" s="25"/>
      <c r="H53" s="25"/>
    </row>
    <row r="54" spans="1:8" ht="18.75">
      <c r="A54" s="420" t="s">
        <v>542</v>
      </c>
      <c r="B54" s="420"/>
      <c r="C54" s="420"/>
      <c r="D54" s="420"/>
      <c r="E54" s="420"/>
      <c r="F54" s="420"/>
      <c r="G54" s="420"/>
      <c r="H54" s="420"/>
    </row>
    <row r="55" spans="1:8">
      <c r="A55" s="26"/>
      <c r="B55" s="25"/>
      <c r="C55" s="25"/>
      <c r="D55" s="25"/>
      <c r="E55" s="25"/>
      <c r="F55" s="25"/>
      <c r="G55" s="25"/>
      <c r="H55" s="25"/>
    </row>
    <row r="56" spans="1:8">
      <c r="A56" s="124" t="s">
        <v>0</v>
      </c>
      <c r="B56" s="96" t="s">
        <v>2</v>
      </c>
      <c r="C56" s="96" t="s">
        <v>3</v>
      </c>
      <c r="D56" s="96" t="s">
        <v>4</v>
      </c>
      <c r="E56" s="96" t="s">
        <v>5</v>
      </c>
      <c r="F56" s="96" t="s">
        <v>6</v>
      </c>
      <c r="G56" s="96" t="s">
        <v>168</v>
      </c>
      <c r="H56" s="96" t="s">
        <v>167</v>
      </c>
    </row>
    <row r="57" spans="1:8">
      <c r="A57" s="59" t="s">
        <v>222</v>
      </c>
      <c r="B57" s="127" t="e">
        <f>B49</f>
        <v>#REF!</v>
      </c>
      <c r="C57" s="127" t="e">
        <f t="shared" ref="C57:H57" si="11">C49</f>
        <v>#REF!</v>
      </c>
      <c r="D57" s="127" t="e">
        <f t="shared" si="11"/>
        <v>#REF!</v>
      </c>
      <c r="E57" s="127" t="e">
        <f t="shared" si="11"/>
        <v>#REF!</v>
      </c>
      <c r="F57" s="127" t="e">
        <f t="shared" si="11"/>
        <v>#REF!</v>
      </c>
      <c r="G57" s="127" t="e">
        <f t="shared" si="11"/>
        <v>#REF!</v>
      </c>
      <c r="H57" s="127" t="e">
        <f t="shared" si="11"/>
        <v>#REF!</v>
      </c>
    </row>
    <row r="58" spans="1:8">
      <c r="A58" s="59" t="s">
        <v>223</v>
      </c>
      <c r="B58" s="127">
        <f>B42</f>
        <v>1252517.731892</v>
      </c>
      <c r="C58" s="127">
        <f t="shared" ref="C58:H58" si="12">C42</f>
        <v>1252517.731892</v>
      </c>
      <c r="D58" s="127">
        <f t="shared" si="12"/>
        <v>1252517.731892</v>
      </c>
      <c r="E58" s="127">
        <f t="shared" si="12"/>
        <v>1252517.731892</v>
      </c>
      <c r="F58" s="127">
        <f t="shared" si="12"/>
        <v>1252517.731892</v>
      </c>
      <c r="G58" s="127">
        <f t="shared" si="12"/>
        <v>1252517.731892</v>
      </c>
      <c r="H58" s="127">
        <f t="shared" si="12"/>
        <v>1252517.731892</v>
      </c>
    </row>
    <row r="59" spans="1:8">
      <c r="A59" s="59" t="s">
        <v>224</v>
      </c>
      <c r="B59" s="127">
        <f>'3.Other Exp &amp; Taxes'!K67</f>
        <v>3337114.8859999999</v>
      </c>
      <c r="C59" s="127">
        <f>'3.Other Exp &amp; Taxes'!L67</f>
        <v>2892125.1530999998</v>
      </c>
      <c r="D59" s="127">
        <f>'3.Other Exp &amp; Taxes'!M67</f>
        <v>2512526.1301349998</v>
      </c>
      <c r="E59" s="127">
        <f>'3.Other Exp &amp; Taxes'!N67</f>
        <v>2186964.9856147501</v>
      </c>
      <c r="F59" s="127">
        <f>'3.Other Exp &amp; Taxes'!O67</f>
        <v>1906618.2352725377</v>
      </c>
      <c r="G59" s="127">
        <f>'3.Other Exp &amp; Taxes'!P67</f>
        <v>1664460.8977316571</v>
      </c>
      <c r="H59" s="127">
        <f>'3.Other Exp &amp; Taxes'!Q67</f>
        <v>1454787.9410469085</v>
      </c>
    </row>
    <row r="60" spans="1:8">
      <c r="A60" s="59" t="s">
        <v>285</v>
      </c>
      <c r="B60" s="127" t="e">
        <f t="shared" ref="B60:H60" si="13">B57+B58-B59</f>
        <v>#REF!</v>
      </c>
      <c r="C60" s="127" t="e">
        <f t="shared" si="13"/>
        <v>#REF!</v>
      </c>
      <c r="D60" s="127" t="e">
        <f t="shared" si="13"/>
        <v>#REF!</v>
      </c>
      <c r="E60" s="127" t="e">
        <f t="shared" si="13"/>
        <v>#REF!</v>
      </c>
      <c r="F60" s="127" t="e">
        <f t="shared" si="13"/>
        <v>#REF!</v>
      </c>
      <c r="G60" s="127" t="e">
        <f t="shared" si="13"/>
        <v>#REF!</v>
      </c>
      <c r="H60" s="127" t="e">
        <f t="shared" si="13"/>
        <v>#REF!</v>
      </c>
    </row>
    <row r="61" spans="1:8">
      <c r="A61" s="61" t="s">
        <v>225</v>
      </c>
      <c r="B61" s="325" t="e">
        <f>IF(B60&gt;0,B60*$B$64,"0")</f>
        <v>#REF!</v>
      </c>
      <c r="C61" s="128" t="e">
        <f>IF(C60&gt;0,C60*$B$64,"0")</f>
        <v>#REF!</v>
      </c>
      <c r="D61" s="128" t="e">
        <f>IF(D60&gt;0,D60*$B$64,"0")</f>
        <v>#REF!</v>
      </c>
      <c r="E61" s="128" t="e">
        <f t="shared" ref="E61:H61" si="14">IF(E60&gt;0,E60*$B$64,"0")</f>
        <v>#REF!</v>
      </c>
      <c r="F61" s="128" t="e">
        <f t="shared" si="14"/>
        <v>#REF!</v>
      </c>
      <c r="G61" s="128" t="e">
        <f t="shared" si="14"/>
        <v>#REF!</v>
      </c>
      <c r="H61" s="128" t="e">
        <f t="shared" si="14"/>
        <v>#REF!</v>
      </c>
    </row>
    <row r="62" spans="1:8">
      <c r="A62" s="27"/>
      <c r="B62" s="25"/>
      <c r="C62" s="25"/>
      <c r="D62" s="25"/>
      <c r="E62" s="25"/>
      <c r="F62" s="25"/>
      <c r="G62" s="25"/>
      <c r="H62" s="25"/>
    </row>
    <row r="63" spans="1:8">
      <c r="A63" s="27"/>
      <c r="B63" s="29"/>
      <c r="C63" s="29"/>
      <c r="D63" s="29"/>
      <c r="E63" s="29"/>
      <c r="F63" s="29"/>
      <c r="G63" s="29"/>
      <c r="H63" s="29"/>
    </row>
    <row r="64" spans="1:8">
      <c r="A64" s="30" t="s">
        <v>380</v>
      </c>
      <c r="B64" s="236">
        <v>0.26</v>
      </c>
      <c r="C64" s="29"/>
      <c r="D64" s="29"/>
      <c r="E64" s="29"/>
      <c r="F64" s="29"/>
      <c r="G64" s="29"/>
      <c r="H64" s="29"/>
    </row>
    <row r="65" spans="1:8">
      <c r="A65" s="25"/>
      <c r="B65" s="25"/>
      <c r="C65" s="25"/>
      <c r="D65" s="25"/>
      <c r="E65" s="25"/>
      <c r="F65" s="25"/>
      <c r="G65" s="25"/>
      <c r="H65" s="25"/>
    </row>
    <row r="66" spans="1:8">
      <c r="A66" s="421" t="s">
        <v>411</v>
      </c>
      <c r="B66" s="421"/>
      <c r="C66" s="421"/>
      <c r="D66" s="421"/>
      <c r="E66" s="421"/>
      <c r="F66" s="421"/>
      <c r="G66" s="421"/>
      <c r="H66" s="421"/>
    </row>
    <row r="68" spans="1:8" ht="18.75">
      <c r="A68" s="404" t="s">
        <v>543</v>
      </c>
      <c r="B68" s="404"/>
      <c r="C68" s="404"/>
      <c r="D68" s="404"/>
      <c r="E68" s="404"/>
      <c r="F68" s="404"/>
      <c r="G68" s="429"/>
    </row>
    <row r="69" spans="1:8" ht="14.45" customHeight="1">
      <c r="B69" s="13"/>
      <c r="C69" s="13"/>
      <c r="D69" s="13"/>
      <c r="E69" s="13"/>
      <c r="F69" s="13"/>
      <c r="G69" s="13"/>
    </row>
    <row r="70" spans="1:8">
      <c r="A70" s="72" t="s">
        <v>453</v>
      </c>
      <c r="B70" s="88" t="e">
        <f>'1.Project Cost and MOF'!#REF!</f>
        <v>#REF!</v>
      </c>
      <c r="E70" s="72"/>
      <c r="F70" s="72"/>
      <c r="G70" s="72"/>
    </row>
    <row r="71" spans="1:8">
      <c r="A71" s="72" t="s">
        <v>454</v>
      </c>
      <c r="B71" s="231">
        <v>0.12</v>
      </c>
      <c r="E71" s="72"/>
      <c r="F71" s="72"/>
      <c r="G71" s="72"/>
    </row>
    <row r="72" spans="1:8" ht="14.45" customHeight="1">
      <c r="A72" s="72" t="s">
        <v>455</v>
      </c>
      <c r="B72" s="232">
        <v>7</v>
      </c>
      <c r="E72" s="72"/>
      <c r="F72" s="72"/>
      <c r="G72" s="72"/>
    </row>
    <row r="73" spans="1:8">
      <c r="A73" s="72" t="s">
        <v>456</v>
      </c>
      <c r="B73" s="232">
        <v>6</v>
      </c>
      <c r="E73" s="72"/>
      <c r="F73" s="72"/>
      <c r="G73" s="72"/>
    </row>
    <row r="74" spans="1:8">
      <c r="A74" s="72" t="s">
        <v>22</v>
      </c>
      <c r="B74" s="175" t="e">
        <f>PMT(B71/12,(B72-(B73/12))*12,-B70)</f>
        <v>#REF!</v>
      </c>
      <c r="E74" s="175"/>
      <c r="F74" s="221"/>
      <c r="G74" s="72"/>
    </row>
    <row r="75" spans="1:8">
      <c r="A75" s="124" t="s">
        <v>286</v>
      </c>
      <c r="B75" s="176" t="s">
        <v>18</v>
      </c>
      <c r="C75" s="177" t="s">
        <v>19</v>
      </c>
      <c r="D75" s="177" t="s">
        <v>20</v>
      </c>
      <c r="E75" s="177" t="s">
        <v>21</v>
      </c>
      <c r="F75" s="177" t="s">
        <v>22</v>
      </c>
      <c r="G75" s="177" t="s">
        <v>23</v>
      </c>
    </row>
    <row r="76" spans="1:8">
      <c r="A76" s="73" t="s">
        <v>11</v>
      </c>
      <c r="B76" s="73" t="s">
        <v>52</v>
      </c>
      <c r="C76" s="74" t="e">
        <f>B70</f>
        <v>#REF!</v>
      </c>
      <c r="D76" s="74" t="e">
        <f>C76*$B$71/12</f>
        <v>#REF!</v>
      </c>
      <c r="E76" s="74" t="e">
        <f t="shared" ref="E76:E81" si="15">F76-D76</f>
        <v>#REF!</v>
      </c>
      <c r="F76" s="74" t="e">
        <f>D76</f>
        <v>#REF!</v>
      </c>
      <c r="G76" s="74" t="e">
        <f>C76-E76</f>
        <v>#REF!</v>
      </c>
    </row>
    <row r="77" spans="1:8">
      <c r="A77" s="73"/>
      <c r="B77" s="73" t="s">
        <v>53</v>
      </c>
      <c r="C77" s="74" t="e">
        <f>G76</f>
        <v>#REF!</v>
      </c>
      <c r="D77" s="74" t="e">
        <f t="shared" ref="D77:D140" si="16">C77*$B$71/12</f>
        <v>#REF!</v>
      </c>
      <c r="E77" s="74" t="e">
        <f t="shared" si="15"/>
        <v>#REF!</v>
      </c>
      <c r="F77" s="74" t="e">
        <f t="shared" ref="F77:F81" si="17">D77</f>
        <v>#REF!</v>
      </c>
      <c r="G77" s="74" t="e">
        <f t="shared" ref="G77:G140" si="18">C77-E77</f>
        <v>#REF!</v>
      </c>
    </row>
    <row r="78" spans="1:8">
      <c r="A78" s="73"/>
      <c r="B78" s="73" t="s">
        <v>54</v>
      </c>
      <c r="C78" s="74" t="e">
        <f t="shared" ref="C78:C141" si="19">G77</f>
        <v>#REF!</v>
      </c>
      <c r="D78" s="74" t="e">
        <f t="shared" si="16"/>
        <v>#REF!</v>
      </c>
      <c r="E78" s="74" t="e">
        <f t="shared" si="15"/>
        <v>#REF!</v>
      </c>
      <c r="F78" s="74" t="e">
        <f t="shared" si="17"/>
        <v>#REF!</v>
      </c>
      <c r="G78" s="74" t="e">
        <f t="shared" si="18"/>
        <v>#REF!</v>
      </c>
    </row>
    <row r="79" spans="1:8">
      <c r="A79" s="73"/>
      <c r="B79" s="73" t="s">
        <v>55</v>
      </c>
      <c r="C79" s="74" t="e">
        <f t="shared" si="19"/>
        <v>#REF!</v>
      </c>
      <c r="D79" s="74" t="e">
        <f t="shared" si="16"/>
        <v>#REF!</v>
      </c>
      <c r="E79" s="74" t="e">
        <f t="shared" si="15"/>
        <v>#REF!</v>
      </c>
      <c r="F79" s="74" t="e">
        <f t="shared" si="17"/>
        <v>#REF!</v>
      </c>
      <c r="G79" s="74" t="e">
        <f t="shared" si="18"/>
        <v>#REF!</v>
      </c>
    </row>
    <row r="80" spans="1:8">
      <c r="A80" s="73"/>
      <c r="B80" s="73" t="s">
        <v>56</v>
      </c>
      <c r="C80" s="74" t="e">
        <f t="shared" si="19"/>
        <v>#REF!</v>
      </c>
      <c r="D80" s="74" t="e">
        <f t="shared" si="16"/>
        <v>#REF!</v>
      </c>
      <c r="E80" s="74" t="e">
        <f t="shared" si="15"/>
        <v>#REF!</v>
      </c>
      <c r="F80" s="74" t="e">
        <f t="shared" si="17"/>
        <v>#REF!</v>
      </c>
      <c r="G80" s="74" t="e">
        <f t="shared" si="18"/>
        <v>#REF!</v>
      </c>
    </row>
    <row r="81" spans="1:7">
      <c r="A81" s="73"/>
      <c r="B81" s="73" t="s">
        <v>57</v>
      </c>
      <c r="C81" s="74" t="e">
        <f t="shared" si="19"/>
        <v>#REF!</v>
      </c>
      <c r="D81" s="74" t="e">
        <f t="shared" si="16"/>
        <v>#REF!</v>
      </c>
      <c r="E81" s="74" t="e">
        <f t="shared" si="15"/>
        <v>#REF!</v>
      </c>
      <c r="F81" s="74" t="e">
        <f t="shared" si="17"/>
        <v>#REF!</v>
      </c>
      <c r="G81" s="74" t="e">
        <f t="shared" si="18"/>
        <v>#REF!</v>
      </c>
    </row>
    <row r="82" spans="1:7">
      <c r="A82" s="73"/>
      <c r="B82" s="73" t="s">
        <v>58</v>
      </c>
      <c r="C82" s="74" t="e">
        <f t="shared" si="19"/>
        <v>#REF!</v>
      </c>
      <c r="D82" s="74" t="e">
        <f t="shared" si="16"/>
        <v>#REF!</v>
      </c>
      <c r="E82" s="74" t="e">
        <f>F82-D82</f>
        <v>#REF!</v>
      </c>
      <c r="F82" s="74" t="e">
        <f>$B$74</f>
        <v>#REF!</v>
      </c>
      <c r="G82" s="74" t="e">
        <f t="shared" si="18"/>
        <v>#REF!</v>
      </c>
    </row>
    <row r="83" spans="1:7">
      <c r="A83" s="73"/>
      <c r="B83" s="73" t="s">
        <v>59</v>
      </c>
      <c r="C83" s="74" t="e">
        <f t="shared" si="19"/>
        <v>#REF!</v>
      </c>
      <c r="D83" s="74" t="e">
        <f t="shared" si="16"/>
        <v>#REF!</v>
      </c>
      <c r="E83" s="74" t="e">
        <f t="shared" ref="E83:E146" si="20">F83-D83</f>
        <v>#REF!</v>
      </c>
      <c r="F83" s="74" t="e">
        <f t="shared" ref="F83:F146" si="21">$B$74</f>
        <v>#REF!</v>
      </c>
      <c r="G83" s="74" t="e">
        <f t="shared" si="18"/>
        <v>#REF!</v>
      </c>
    </row>
    <row r="84" spans="1:7">
      <c r="A84" s="73"/>
      <c r="B84" s="73" t="s">
        <v>60</v>
      </c>
      <c r="C84" s="74" t="e">
        <f t="shared" si="19"/>
        <v>#REF!</v>
      </c>
      <c r="D84" s="74" t="e">
        <f t="shared" si="16"/>
        <v>#REF!</v>
      </c>
      <c r="E84" s="74" t="e">
        <f t="shared" si="20"/>
        <v>#REF!</v>
      </c>
      <c r="F84" s="74" t="e">
        <f t="shared" si="21"/>
        <v>#REF!</v>
      </c>
      <c r="G84" s="74" t="e">
        <f t="shared" si="18"/>
        <v>#REF!</v>
      </c>
    </row>
    <row r="85" spans="1:7">
      <c r="A85" s="73"/>
      <c r="B85" s="73" t="s">
        <v>61</v>
      </c>
      <c r="C85" s="74" t="e">
        <f t="shared" si="19"/>
        <v>#REF!</v>
      </c>
      <c r="D85" s="74" t="e">
        <f t="shared" si="16"/>
        <v>#REF!</v>
      </c>
      <c r="E85" s="74" t="e">
        <f t="shared" si="20"/>
        <v>#REF!</v>
      </c>
      <c r="F85" s="74" t="e">
        <f t="shared" si="21"/>
        <v>#REF!</v>
      </c>
      <c r="G85" s="74" t="e">
        <f t="shared" si="18"/>
        <v>#REF!</v>
      </c>
    </row>
    <row r="86" spans="1:7">
      <c r="A86" s="73"/>
      <c r="B86" s="73" t="s">
        <v>62</v>
      </c>
      <c r="C86" s="74" t="e">
        <f t="shared" si="19"/>
        <v>#REF!</v>
      </c>
      <c r="D86" s="74" t="e">
        <f t="shared" si="16"/>
        <v>#REF!</v>
      </c>
      <c r="E86" s="74" t="e">
        <f t="shared" si="20"/>
        <v>#REF!</v>
      </c>
      <c r="F86" s="74" t="e">
        <f t="shared" si="21"/>
        <v>#REF!</v>
      </c>
      <c r="G86" s="74" t="e">
        <f t="shared" si="18"/>
        <v>#REF!</v>
      </c>
    </row>
    <row r="87" spans="1:7">
      <c r="A87" s="73"/>
      <c r="B87" s="73" t="s">
        <v>63</v>
      </c>
      <c r="C87" s="74" t="e">
        <f t="shared" si="19"/>
        <v>#REF!</v>
      </c>
      <c r="D87" s="74" t="e">
        <f t="shared" si="16"/>
        <v>#REF!</v>
      </c>
      <c r="E87" s="74" t="e">
        <f t="shared" si="20"/>
        <v>#REF!</v>
      </c>
      <c r="F87" s="74" t="e">
        <f t="shared" si="21"/>
        <v>#REF!</v>
      </c>
      <c r="G87" s="74" t="e">
        <f t="shared" si="18"/>
        <v>#REF!</v>
      </c>
    </row>
    <row r="88" spans="1:7">
      <c r="A88" s="73" t="s">
        <v>12</v>
      </c>
      <c r="B88" s="73" t="s">
        <v>64</v>
      </c>
      <c r="C88" s="74" t="e">
        <f t="shared" si="19"/>
        <v>#REF!</v>
      </c>
      <c r="D88" s="74" t="e">
        <f t="shared" si="16"/>
        <v>#REF!</v>
      </c>
      <c r="E88" s="74" t="e">
        <f t="shared" si="20"/>
        <v>#REF!</v>
      </c>
      <c r="F88" s="74" t="e">
        <f t="shared" si="21"/>
        <v>#REF!</v>
      </c>
      <c r="G88" s="74" t="e">
        <f t="shared" si="18"/>
        <v>#REF!</v>
      </c>
    </row>
    <row r="89" spans="1:7">
      <c r="A89" s="73"/>
      <c r="B89" s="73" t="s">
        <v>65</v>
      </c>
      <c r="C89" s="74" t="e">
        <f t="shared" si="19"/>
        <v>#REF!</v>
      </c>
      <c r="D89" s="74" t="e">
        <f t="shared" si="16"/>
        <v>#REF!</v>
      </c>
      <c r="E89" s="74" t="e">
        <f t="shared" si="20"/>
        <v>#REF!</v>
      </c>
      <c r="F89" s="74" t="e">
        <f t="shared" si="21"/>
        <v>#REF!</v>
      </c>
      <c r="G89" s="74" t="e">
        <f t="shared" si="18"/>
        <v>#REF!</v>
      </c>
    </row>
    <row r="90" spans="1:7">
      <c r="A90" s="73"/>
      <c r="B90" s="73" t="s">
        <v>66</v>
      </c>
      <c r="C90" s="74" t="e">
        <f t="shared" si="19"/>
        <v>#REF!</v>
      </c>
      <c r="D90" s="74" t="e">
        <f t="shared" si="16"/>
        <v>#REF!</v>
      </c>
      <c r="E90" s="74" t="e">
        <f t="shared" si="20"/>
        <v>#REF!</v>
      </c>
      <c r="F90" s="74" t="e">
        <f t="shared" si="21"/>
        <v>#REF!</v>
      </c>
      <c r="G90" s="74" t="e">
        <f t="shared" si="18"/>
        <v>#REF!</v>
      </c>
    </row>
    <row r="91" spans="1:7">
      <c r="A91" s="73"/>
      <c r="B91" s="73" t="s">
        <v>67</v>
      </c>
      <c r="C91" s="74" t="e">
        <f t="shared" si="19"/>
        <v>#REF!</v>
      </c>
      <c r="D91" s="74" t="e">
        <f t="shared" si="16"/>
        <v>#REF!</v>
      </c>
      <c r="E91" s="74" t="e">
        <f t="shared" si="20"/>
        <v>#REF!</v>
      </c>
      <c r="F91" s="74" t="e">
        <f t="shared" si="21"/>
        <v>#REF!</v>
      </c>
      <c r="G91" s="74" t="e">
        <f t="shared" si="18"/>
        <v>#REF!</v>
      </c>
    </row>
    <row r="92" spans="1:7">
      <c r="A92" s="73"/>
      <c r="B92" s="73" t="s">
        <v>68</v>
      </c>
      <c r="C92" s="74" t="e">
        <f t="shared" si="19"/>
        <v>#REF!</v>
      </c>
      <c r="D92" s="74" t="e">
        <f t="shared" si="16"/>
        <v>#REF!</v>
      </c>
      <c r="E92" s="74" t="e">
        <f t="shared" si="20"/>
        <v>#REF!</v>
      </c>
      <c r="F92" s="74" t="e">
        <f t="shared" si="21"/>
        <v>#REF!</v>
      </c>
      <c r="G92" s="74" t="e">
        <f t="shared" si="18"/>
        <v>#REF!</v>
      </c>
    </row>
    <row r="93" spans="1:7">
      <c r="A93" s="73"/>
      <c r="B93" s="73" t="s">
        <v>69</v>
      </c>
      <c r="C93" s="74" t="e">
        <f t="shared" si="19"/>
        <v>#REF!</v>
      </c>
      <c r="D93" s="74" t="e">
        <f t="shared" si="16"/>
        <v>#REF!</v>
      </c>
      <c r="E93" s="74" t="e">
        <f t="shared" si="20"/>
        <v>#REF!</v>
      </c>
      <c r="F93" s="74" t="e">
        <f t="shared" si="21"/>
        <v>#REF!</v>
      </c>
      <c r="G93" s="74" t="e">
        <f t="shared" si="18"/>
        <v>#REF!</v>
      </c>
    </row>
    <row r="94" spans="1:7">
      <c r="A94" s="73"/>
      <c r="B94" s="73" t="s">
        <v>70</v>
      </c>
      <c r="C94" s="74" t="e">
        <f t="shared" si="19"/>
        <v>#REF!</v>
      </c>
      <c r="D94" s="74" t="e">
        <f t="shared" si="16"/>
        <v>#REF!</v>
      </c>
      <c r="E94" s="74" t="e">
        <f t="shared" si="20"/>
        <v>#REF!</v>
      </c>
      <c r="F94" s="74" t="e">
        <f t="shared" si="21"/>
        <v>#REF!</v>
      </c>
      <c r="G94" s="74" t="e">
        <f t="shared" si="18"/>
        <v>#REF!</v>
      </c>
    </row>
    <row r="95" spans="1:7">
      <c r="A95" s="73"/>
      <c r="B95" s="73" t="s">
        <v>71</v>
      </c>
      <c r="C95" s="74" t="e">
        <f t="shared" si="19"/>
        <v>#REF!</v>
      </c>
      <c r="D95" s="74" t="e">
        <f t="shared" si="16"/>
        <v>#REF!</v>
      </c>
      <c r="E95" s="74" t="e">
        <f t="shared" si="20"/>
        <v>#REF!</v>
      </c>
      <c r="F95" s="74" t="e">
        <f t="shared" si="21"/>
        <v>#REF!</v>
      </c>
      <c r="G95" s="74" t="e">
        <f t="shared" si="18"/>
        <v>#REF!</v>
      </c>
    </row>
    <row r="96" spans="1:7">
      <c r="A96" s="73"/>
      <c r="B96" s="73" t="s">
        <v>72</v>
      </c>
      <c r="C96" s="74" t="e">
        <f t="shared" si="19"/>
        <v>#REF!</v>
      </c>
      <c r="D96" s="74" t="e">
        <f t="shared" si="16"/>
        <v>#REF!</v>
      </c>
      <c r="E96" s="74" t="e">
        <f t="shared" si="20"/>
        <v>#REF!</v>
      </c>
      <c r="F96" s="74" t="e">
        <f t="shared" si="21"/>
        <v>#REF!</v>
      </c>
      <c r="G96" s="74" t="e">
        <f t="shared" si="18"/>
        <v>#REF!</v>
      </c>
    </row>
    <row r="97" spans="1:7">
      <c r="A97" s="73"/>
      <c r="B97" s="73" t="s">
        <v>73</v>
      </c>
      <c r="C97" s="74" t="e">
        <f t="shared" si="19"/>
        <v>#REF!</v>
      </c>
      <c r="D97" s="74" t="e">
        <f t="shared" si="16"/>
        <v>#REF!</v>
      </c>
      <c r="E97" s="74" t="e">
        <f t="shared" si="20"/>
        <v>#REF!</v>
      </c>
      <c r="F97" s="74" t="e">
        <f t="shared" si="21"/>
        <v>#REF!</v>
      </c>
      <c r="G97" s="74" t="e">
        <f t="shared" si="18"/>
        <v>#REF!</v>
      </c>
    </row>
    <row r="98" spans="1:7">
      <c r="A98" s="73"/>
      <c r="B98" s="73" t="s">
        <v>74</v>
      </c>
      <c r="C98" s="74" t="e">
        <f t="shared" si="19"/>
        <v>#REF!</v>
      </c>
      <c r="D98" s="74" t="e">
        <f t="shared" si="16"/>
        <v>#REF!</v>
      </c>
      <c r="E98" s="74" t="e">
        <f t="shared" si="20"/>
        <v>#REF!</v>
      </c>
      <c r="F98" s="74" t="e">
        <f t="shared" si="21"/>
        <v>#REF!</v>
      </c>
      <c r="G98" s="74" t="e">
        <f t="shared" si="18"/>
        <v>#REF!</v>
      </c>
    </row>
    <row r="99" spans="1:7">
      <c r="A99" s="73"/>
      <c r="B99" s="73" t="s">
        <v>75</v>
      </c>
      <c r="C99" s="74" t="e">
        <f t="shared" si="19"/>
        <v>#REF!</v>
      </c>
      <c r="D99" s="74" t="e">
        <f t="shared" si="16"/>
        <v>#REF!</v>
      </c>
      <c r="E99" s="74" t="e">
        <f t="shared" si="20"/>
        <v>#REF!</v>
      </c>
      <c r="F99" s="74" t="e">
        <f t="shared" si="21"/>
        <v>#REF!</v>
      </c>
      <c r="G99" s="74" t="e">
        <f t="shared" si="18"/>
        <v>#REF!</v>
      </c>
    </row>
    <row r="100" spans="1:7">
      <c r="A100" s="73" t="s">
        <v>13</v>
      </c>
      <c r="B100" s="73" t="s">
        <v>76</v>
      </c>
      <c r="C100" s="74" t="e">
        <f t="shared" si="19"/>
        <v>#REF!</v>
      </c>
      <c r="D100" s="74" t="e">
        <f t="shared" si="16"/>
        <v>#REF!</v>
      </c>
      <c r="E100" s="74" t="e">
        <f t="shared" si="20"/>
        <v>#REF!</v>
      </c>
      <c r="F100" s="74" t="e">
        <f t="shared" si="21"/>
        <v>#REF!</v>
      </c>
      <c r="G100" s="74" t="e">
        <f t="shared" si="18"/>
        <v>#REF!</v>
      </c>
    </row>
    <row r="101" spans="1:7">
      <c r="A101" s="73"/>
      <c r="B101" s="73" t="s">
        <v>77</v>
      </c>
      <c r="C101" s="74" t="e">
        <f t="shared" si="19"/>
        <v>#REF!</v>
      </c>
      <c r="D101" s="74" t="e">
        <f t="shared" si="16"/>
        <v>#REF!</v>
      </c>
      <c r="E101" s="74" t="e">
        <f t="shared" si="20"/>
        <v>#REF!</v>
      </c>
      <c r="F101" s="74" t="e">
        <f t="shared" si="21"/>
        <v>#REF!</v>
      </c>
      <c r="G101" s="74" t="e">
        <f t="shared" si="18"/>
        <v>#REF!</v>
      </c>
    </row>
    <row r="102" spans="1:7">
      <c r="A102" s="73"/>
      <c r="B102" s="73" t="s">
        <v>78</v>
      </c>
      <c r="C102" s="74" t="e">
        <f t="shared" si="19"/>
        <v>#REF!</v>
      </c>
      <c r="D102" s="74" t="e">
        <f t="shared" si="16"/>
        <v>#REF!</v>
      </c>
      <c r="E102" s="74" t="e">
        <f t="shared" si="20"/>
        <v>#REF!</v>
      </c>
      <c r="F102" s="74" t="e">
        <f t="shared" si="21"/>
        <v>#REF!</v>
      </c>
      <c r="G102" s="74" t="e">
        <f t="shared" si="18"/>
        <v>#REF!</v>
      </c>
    </row>
    <row r="103" spans="1:7">
      <c r="A103" s="73"/>
      <c r="B103" s="73" t="s">
        <v>79</v>
      </c>
      <c r="C103" s="74" t="e">
        <f t="shared" si="19"/>
        <v>#REF!</v>
      </c>
      <c r="D103" s="74" t="e">
        <f t="shared" si="16"/>
        <v>#REF!</v>
      </c>
      <c r="E103" s="74" t="e">
        <f t="shared" si="20"/>
        <v>#REF!</v>
      </c>
      <c r="F103" s="74" t="e">
        <f t="shared" si="21"/>
        <v>#REF!</v>
      </c>
      <c r="G103" s="74" t="e">
        <f t="shared" si="18"/>
        <v>#REF!</v>
      </c>
    </row>
    <row r="104" spans="1:7">
      <c r="A104" s="73"/>
      <c r="B104" s="73" t="s">
        <v>80</v>
      </c>
      <c r="C104" s="74" t="e">
        <f t="shared" si="19"/>
        <v>#REF!</v>
      </c>
      <c r="D104" s="74" t="e">
        <f t="shared" si="16"/>
        <v>#REF!</v>
      </c>
      <c r="E104" s="74" t="e">
        <f t="shared" si="20"/>
        <v>#REF!</v>
      </c>
      <c r="F104" s="74" t="e">
        <f t="shared" si="21"/>
        <v>#REF!</v>
      </c>
      <c r="G104" s="74" t="e">
        <f t="shared" si="18"/>
        <v>#REF!</v>
      </c>
    </row>
    <row r="105" spans="1:7">
      <c r="A105" s="73"/>
      <c r="B105" s="73" t="s">
        <v>81</v>
      </c>
      <c r="C105" s="74" t="e">
        <f t="shared" si="19"/>
        <v>#REF!</v>
      </c>
      <c r="D105" s="74" t="e">
        <f t="shared" si="16"/>
        <v>#REF!</v>
      </c>
      <c r="E105" s="74" t="e">
        <f t="shared" si="20"/>
        <v>#REF!</v>
      </c>
      <c r="F105" s="74" t="e">
        <f t="shared" si="21"/>
        <v>#REF!</v>
      </c>
      <c r="G105" s="74" t="e">
        <f t="shared" si="18"/>
        <v>#REF!</v>
      </c>
    </row>
    <row r="106" spans="1:7">
      <c r="A106" s="73"/>
      <c r="B106" s="73" t="s">
        <v>82</v>
      </c>
      <c r="C106" s="74" t="e">
        <f t="shared" si="19"/>
        <v>#REF!</v>
      </c>
      <c r="D106" s="74" t="e">
        <f t="shared" si="16"/>
        <v>#REF!</v>
      </c>
      <c r="E106" s="74" t="e">
        <f t="shared" si="20"/>
        <v>#REF!</v>
      </c>
      <c r="F106" s="74" t="e">
        <f t="shared" si="21"/>
        <v>#REF!</v>
      </c>
      <c r="G106" s="74" t="e">
        <f t="shared" si="18"/>
        <v>#REF!</v>
      </c>
    </row>
    <row r="107" spans="1:7">
      <c r="A107" s="73"/>
      <c r="B107" s="73" t="s">
        <v>83</v>
      </c>
      <c r="C107" s="74" t="e">
        <f t="shared" si="19"/>
        <v>#REF!</v>
      </c>
      <c r="D107" s="74" t="e">
        <f t="shared" si="16"/>
        <v>#REF!</v>
      </c>
      <c r="E107" s="74" t="e">
        <f t="shared" si="20"/>
        <v>#REF!</v>
      </c>
      <c r="F107" s="74" t="e">
        <f t="shared" si="21"/>
        <v>#REF!</v>
      </c>
      <c r="G107" s="74" t="e">
        <f t="shared" si="18"/>
        <v>#REF!</v>
      </c>
    </row>
    <row r="108" spans="1:7">
      <c r="A108" s="73"/>
      <c r="B108" s="73" t="s">
        <v>84</v>
      </c>
      <c r="C108" s="74" t="e">
        <f t="shared" si="19"/>
        <v>#REF!</v>
      </c>
      <c r="D108" s="74" t="e">
        <f t="shared" si="16"/>
        <v>#REF!</v>
      </c>
      <c r="E108" s="74" t="e">
        <f t="shared" si="20"/>
        <v>#REF!</v>
      </c>
      <c r="F108" s="74" t="e">
        <f t="shared" si="21"/>
        <v>#REF!</v>
      </c>
      <c r="G108" s="74" t="e">
        <f t="shared" si="18"/>
        <v>#REF!</v>
      </c>
    </row>
    <row r="109" spans="1:7">
      <c r="A109" s="73"/>
      <c r="B109" s="73" t="s">
        <v>85</v>
      </c>
      <c r="C109" s="74" t="e">
        <f t="shared" si="19"/>
        <v>#REF!</v>
      </c>
      <c r="D109" s="74" t="e">
        <f t="shared" si="16"/>
        <v>#REF!</v>
      </c>
      <c r="E109" s="74" t="e">
        <f t="shared" si="20"/>
        <v>#REF!</v>
      </c>
      <c r="F109" s="74" t="e">
        <f t="shared" si="21"/>
        <v>#REF!</v>
      </c>
      <c r="G109" s="74" t="e">
        <f t="shared" si="18"/>
        <v>#REF!</v>
      </c>
    </row>
    <row r="110" spans="1:7">
      <c r="A110" s="73"/>
      <c r="B110" s="73" t="s">
        <v>86</v>
      </c>
      <c r="C110" s="74" t="e">
        <f t="shared" si="19"/>
        <v>#REF!</v>
      </c>
      <c r="D110" s="74" t="e">
        <f t="shared" si="16"/>
        <v>#REF!</v>
      </c>
      <c r="E110" s="74" t="e">
        <f t="shared" si="20"/>
        <v>#REF!</v>
      </c>
      <c r="F110" s="74" t="e">
        <f t="shared" si="21"/>
        <v>#REF!</v>
      </c>
      <c r="G110" s="74" t="e">
        <f t="shared" si="18"/>
        <v>#REF!</v>
      </c>
    </row>
    <row r="111" spans="1:7">
      <c r="A111" s="73"/>
      <c r="B111" s="73" t="s">
        <v>87</v>
      </c>
      <c r="C111" s="74" t="e">
        <f t="shared" si="19"/>
        <v>#REF!</v>
      </c>
      <c r="D111" s="74" t="e">
        <f t="shared" si="16"/>
        <v>#REF!</v>
      </c>
      <c r="E111" s="74" t="e">
        <f t="shared" si="20"/>
        <v>#REF!</v>
      </c>
      <c r="F111" s="74" t="e">
        <f t="shared" si="21"/>
        <v>#REF!</v>
      </c>
      <c r="G111" s="74" t="e">
        <f t="shared" si="18"/>
        <v>#REF!</v>
      </c>
    </row>
    <row r="112" spans="1:7">
      <c r="A112" s="73" t="s">
        <v>14</v>
      </c>
      <c r="B112" s="73" t="s">
        <v>88</v>
      </c>
      <c r="C112" s="74" t="e">
        <f t="shared" si="19"/>
        <v>#REF!</v>
      </c>
      <c r="D112" s="74" t="e">
        <f t="shared" si="16"/>
        <v>#REF!</v>
      </c>
      <c r="E112" s="74" t="e">
        <f t="shared" si="20"/>
        <v>#REF!</v>
      </c>
      <c r="F112" s="74" t="e">
        <f t="shared" si="21"/>
        <v>#REF!</v>
      </c>
      <c r="G112" s="74" t="e">
        <f t="shared" si="18"/>
        <v>#REF!</v>
      </c>
    </row>
    <row r="113" spans="1:7">
      <c r="A113" s="73"/>
      <c r="B113" s="73" t="s">
        <v>89</v>
      </c>
      <c r="C113" s="74" t="e">
        <f t="shared" si="19"/>
        <v>#REF!</v>
      </c>
      <c r="D113" s="74" t="e">
        <f t="shared" si="16"/>
        <v>#REF!</v>
      </c>
      <c r="E113" s="74" t="e">
        <f t="shared" si="20"/>
        <v>#REF!</v>
      </c>
      <c r="F113" s="74" t="e">
        <f t="shared" si="21"/>
        <v>#REF!</v>
      </c>
      <c r="G113" s="74" t="e">
        <f t="shared" si="18"/>
        <v>#REF!</v>
      </c>
    </row>
    <row r="114" spans="1:7">
      <c r="A114" s="73"/>
      <c r="B114" s="73" t="s">
        <v>90</v>
      </c>
      <c r="C114" s="74" t="e">
        <f t="shared" si="19"/>
        <v>#REF!</v>
      </c>
      <c r="D114" s="74" t="e">
        <f t="shared" si="16"/>
        <v>#REF!</v>
      </c>
      <c r="E114" s="74" t="e">
        <f t="shared" si="20"/>
        <v>#REF!</v>
      </c>
      <c r="F114" s="74" t="e">
        <f t="shared" si="21"/>
        <v>#REF!</v>
      </c>
      <c r="G114" s="74" t="e">
        <f t="shared" si="18"/>
        <v>#REF!</v>
      </c>
    </row>
    <row r="115" spans="1:7">
      <c r="A115" s="73"/>
      <c r="B115" s="73" t="s">
        <v>91</v>
      </c>
      <c r="C115" s="74" t="e">
        <f t="shared" si="19"/>
        <v>#REF!</v>
      </c>
      <c r="D115" s="74" t="e">
        <f t="shared" si="16"/>
        <v>#REF!</v>
      </c>
      <c r="E115" s="74" t="e">
        <f t="shared" si="20"/>
        <v>#REF!</v>
      </c>
      <c r="F115" s="74" t="e">
        <f t="shared" si="21"/>
        <v>#REF!</v>
      </c>
      <c r="G115" s="74" t="e">
        <f t="shared" si="18"/>
        <v>#REF!</v>
      </c>
    </row>
    <row r="116" spans="1:7">
      <c r="A116" s="73"/>
      <c r="B116" s="73" t="s">
        <v>92</v>
      </c>
      <c r="C116" s="74" t="e">
        <f t="shared" si="19"/>
        <v>#REF!</v>
      </c>
      <c r="D116" s="74" t="e">
        <f t="shared" si="16"/>
        <v>#REF!</v>
      </c>
      <c r="E116" s="74" t="e">
        <f t="shared" si="20"/>
        <v>#REF!</v>
      </c>
      <c r="F116" s="74" t="e">
        <f t="shared" si="21"/>
        <v>#REF!</v>
      </c>
      <c r="G116" s="74" t="e">
        <f t="shared" si="18"/>
        <v>#REF!</v>
      </c>
    </row>
    <row r="117" spans="1:7">
      <c r="A117" s="73"/>
      <c r="B117" s="73" t="s">
        <v>93</v>
      </c>
      <c r="C117" s="74" t="e">
        <f t="shared" si="19"/>
        <v>#REF!</v>
      </c>
      <c r="D117" s="74" t="e">
        <f t="shared" si="16"/>
        <v>#REF!</v>
      </c>
      <c r="E117" s="74" t="e">
        <f t="shared" si="20"/>
        <v>#REF!</v>
      </c>
      <c r="F117" s="74" t="e">
        <f t="shared" si="21"/>
        <v>#REF!</v>
      </c>
      <c r="G117" s="74" t="e">
        <f t="shared" si="18"/>
        <v>#REF!</v>
      </c>
    </row>
    <row r="118" spans="1:7">
      <c r="A118" s="73"/>
      <c r="B118" s="73" t="s">
        <v>94</v>
      </c>
      <c r="C118" s="74" t="e">
        <f t="shared" si="19"/>
        <v>#REF!</v>
      </c>
      <c r="D118" s="74" t="e">
        <f t="shared" si="16"/>
        <v>#REF!</v>
      </c>
      <c r="E118" s="74" t="e">
        <f t="shared" si="20"/>
        <v>#REF!</v>
      </c>
      <c r="F118" s="74" t="e">
        <f t="shared" si="21"/>
        <v>#REF!</v>
      </c>
      <c r="G118" s="74" t="e">
        <f t="shared" si="18"/>
        <v>#REF!</v>
      </c>
    </row>
    <row r="119" spans="1:7">
      <c r="A119" s="73"/>
      <c r="B119" s="73" t="s">
        <v>95</v>
      </c>
      <c r="C119" s="74" t="e">
        <f t="shared" si="19"/>
        <v>#REF!</v>
      </c>
      <c r="D119" s="74" t="e">
        <f t="shared" si="16"/>
        <v>#REF!</v>
      </c>
      <c r="E119" s="74" t="e">
        <f t="shared" si="20"/>
        <v>#REF!</v>
      </c>
      <c r="F119" s="74" t="e">
        <f t="shared" si="21"/>
        <v>#REF!</v>
      </c>
      <c r="G119" s="74" t="e">
        <f t="shared" si="18"/>
        <v>#REF!</v>
      </c>
    </row>
    <row r="120" spans="1:7">
      <c r="A120" s="73"/>
      <c r="B120" s="73" t="s">
        <v>96</v>
      </c>
      <c r="C120" s="74" t="e">
        <f t="shared" si="19"/>
        <v>#REF!</v>
      </c>
      <c r="D120" s="74" t="e">
        <f t="shared" si="16"/>
        <v>#REF!</v>
      </c>
      <c r="E120" s="74" t="e">
        <f t="shared" si="20"/>
        <v>#REF!</v>
      </c>
      <c r="F120" s="74" t="e">
        <f t="shared" si="21"/>
        <v>#REF!</v>
      </c>
      <c r="G120" s="74" t="e">
        <f t="shared" si="18"/>
        <v>#REF!</v>
      </c>
    </row>
    <row r="121" spans="1:7">
      <c r="A121" s="73"/>
      <c r="B121" s="73" t="s">
        <v>97</v>
      </c>
      <c r="C121" s="74" t="e">
        <f t="shared" si="19"/>
        <v>#REF!</v>
      </c>
      <c r="D121" s="74" t="e">
        <f t="shared" si="16"/>
        <v>#REF!</v>
      </c>
      <c r="E121" s="74" t="e">
        <f t="shared" si="20"/>
        <v>#REF!</v>
      </c>
      <c r="F121" s="74" t="e">
        <f t="shared" si="21"/>
        <v>#REF!</v>
      </c>
      <c r="G121" s="74" t="e">
        <f t="shared" si="18"/>
        <v>#REF!</v>
      </c>
    </row>
    <row r="122" spans="1:7">
      <c r="A122" s="73"/>
      <c r="B122" s="73" t="s">
        <v>98</v>
      </c>
      <c r="C122" s="74" t="e">
        <f t="shared" si="19"/>
        <v>#REF!</v>
      </c>
      <c r="D122" s="74" t="e">
        <f t="shared" si="16"/>
        <v>#REF!</v>
      </c>
      <c r="E122" s="74" t="e">
        <f t="shared" si="20"/>
        <v>#REF!</v>
      </c>
      <c r="F122" s="74" t="e">
        <f t="shared" si="21"/>
        <v>#REF!</v>
      </c>
      <c r="G122" s="74" t="e">
        <f t="shared" si="18"/>
        <v>#REF!</v>
      </c>
    </row>
    <row r="123" spans="1:7">
      <c r="A123" s="73"/>
      <c r="B123" s="73" t="s">
        <v>99</v>
      </c>
      <c r="C123" s="74" t="e">
        <f t="shared" si="19"/>
        <v>#REF!</v>
      </c>
      <c r="D123" s="74" t="e">
        <f t="shared" si="16"/>
        <v>#REF!</v>
      </c>
      <c r="E123" s="74" t="e">
        <f t="shared" si="20"/>
        <v>#REF!</v>
      </c>
      <c r="F123" s="74" t="e">
        <f t="shared" si="21"/>
        <v>#REF!</v>
      </c>
      <c r="G123" s="74" t="e">
        <f t="shared" si="18"/>
        <v>#REF!</v>
      </c>
    </row>
    <row r="124" spans="1:7">
      <c r="A124" s="73" t="s">
        <v>15</v>
      </c>
      <c r="B124" s="73" t="s">
        <v>100</v>
      </c>
      <c r="C124" s="74" t="e">
        <f t="shared" si="19"/>
        <v>#REF!</v>
      </c>
      <c r="D124" s="74" t="e">
        <f t="shared" si="16"/>
        <v>#REF!</v>
      </c>
      <c r="E124" s="74" t="e">
        <f t="shared" si="20"/>
        <v>#REF!</v>
      </c>
      <c r="F124" s="74" t="e">
        <f t="shared" si="21"/>
        <v>#REF!</v>
      </c>
      <c r="G124" s="74" t="e">
        <f t="shared" si="18"/>
        <v>#REF!</v>
      </c>
    </row>
    <row r="125" spans="1:7">
      <c r="A125" s="73"/>
      <c r="B125" s="73" t="s">
        <v>101</v>
      </c>
      <c r="C125" s="74" t="e">
        <f t="shared" si="19"/>
        <v>#REF!</v>
      </c>
      <c r="D125" s="74" t="e">
        <f t="shared" si="16"/>
        <v>#REF!</v>
      </c>
      <c r="E125" s="74" t="e">
        <f t="shared" si="20"/>
        <v>#REF!</v>
      </c>
      <c r="F125" s="74" t="e">
        <f t="shared" si="21"/>
        <v>#REF!</v>
      </c>
      <c r="G125" s="74" t="e">
        <f t="shared" si="18"/>
        <v>#REF!</v>
      </c>
    </row>
    <row r="126" spans="1:7">
      <c r="A126" s="73"/>
      <c r="B126" s="73" t="s">
        <v>102</v>
      </c>
      <c r="C126" s="74" t="e">
        <f t="shared" si="19"/>
        <v>#REF!</v>
      </c>
      <c r="D126" s="74" t="e">
        <f t="shared" si="16"/>
        <v>#REF!</v>
      </c>
      <c r="E126" s="74" t="e">
        <f t="shared" si="20"/>
        <v>#REF!</v>
      </c>
      <c r="F126" s="74" t="e">
        <f t="shared" si="21"/>
        <v>#REF!</v>
      </c>
      <c r="G126" s="74" t="e">
        <f t="shared" si="18"/>
        <v>#REF!</v>
      </c>
    </row>
    <row r="127" spans="1:7">
      <c r="A127" s="73"/>
      <c r="B127" s="73" t="s">
        <v>103</v>
      </c>
      <c r="C127" s="74" t="e">
        <f t="shared" si="19"/>
        <v>#REF!</v>
      </c>
      <c r="D127" s="74" t="e">
        <f t="shared" si="16"/>
        <v>#REF!</v>
      </c>
      <c r="E127" s="74" t="e">
        <f t="shared" si="20"/>
        <v>#REF!</v>
      </c>
      <c r="F127" s="74" t="e">
        <f t="shared" si="21"/>
        <v>#REF!</v>
      </c>
      <c r="G127" s="74" t="e">
        <f t="shared" si="18"/>
        <v>#REF!</v>
      </c>
    </row>
    <row r="128" spans="1:7">
      <c r="A128" s="73"/>
      <c r="B128" s="73" t="s">
        <v>104</v>
      </c>
      <c r="C128" s="74" t="e">
        <f t="shared" si="19"/>
        <v>#REF!</v>
      </c>
      <c r="D128" s="74" t="e">
        <f t="shared" si="16"/>
        <v>#REF!</v>
      </c>
      <c r="E128" s="74" t="e">
        <f t="shared" si="20"/>
        <v>#REF!</v>
      </c>
      <c r="F128" s="74" t="e">
        <f t="shared" si="21"/>
        <v>#REF!</v>
      </c>
      <c r="G128" s="74" t="e">
        <f t="shared" si="18"/>
        <v>#REF!</v>
      </c>
    </row>
    <row r="129" spans="1:7">
      <c r="A129" s="73"/>
      <c r="B129" s="73" t="s">
        <v>105</v>
      </c>
      <c r="C129" s="74" t="e">
        <f t="shared" si="19"/>
        <v>#REF!</v>
      </c>
      <c r="D129" s="74" t="e">
        <f t="shared" si="16"/>
        <v>#REF!</v>
      </c>
      <c r="E129" s="74" t="e">
        <f t="shared" si="20"/>
        <v>#REF!</v>
      </c>
      <c r="F129" s="74" t="e">
        <f t="shared" si="21"/>
        <v>#REF!</v>
      </c>
      <c r="G129" s="74" t="e">
        <f t="shared" si="18"/>
        <v>#REF!</v>
      </c>
    </row>
    <row r="130" spans="1:7">
      <c r="A130" s="73"/>
      <c r="B130" s="73" t="s">
        <v>106</v>
      </c>
      <c r="C130" s="74" t="e">
        <f t="shared" si="19"/>
        <v>#REF!</v>
      </c>
      <c r="D130" s="74" t="e">
        <f t="shared" si="16"/>
        <v>#REF!</v>
      </c>
      <c r="E130" s="74" t="e">
        <f t="shared" si="20"/>
        <v>#REF!</v>
      </c>
      <c r="F130" s="74" t="e">
        <f t="shared" si="21"/>
        <v>#REF!</v>
      </c>
      <c r="G130" s="74" t="e">
        <f t="shared" si="18"/>
        <v>#REF!</v>
      </c>
    </row>
    <row r="131" spans="1:7">
      <c r="A131" s="73"/>
      <c r="B131" s="73" t="s">
        <v>107</v>
      </c>
      <c r="C131" s="74" t="e">
        <f t="shared" si="19"/>
        <v>#REF!</v>
      </c>
      <c r="D131" s="74" t="e">
        <f t="shared" si="16"/>
        <v>#REF!</v>
      </c>
      <c r="E131" s="74" t="e">
        <f t="shared" si="20"/>
        <v>#REF!</v>
      </c>
      <c r="F131" s="74" t="e">
        <f t="shared" si="21"/>
        <v>#REF!</v>
      </c>
      <c r="G131" s="74" t="e">
        <f t="shared" si="18"/>
        <v>#REF!</v>
      </c>
    </row>
    <row r="132" spans="1:7">
      <c r="A132" s="73"/>
      <c r="B132" s="73" t="s">
        <v>108</v>
      </c>
      <c r="C132" s="74" t="e">
        <f t="shared" si="19"/>
        <v>#REF!</v>
      </c>
      <c r="D132" s="74" t="e">
        <f t="shared" si="16"/>
        <v>#REF!</v>
      </c>
      <c r="E132" s="74" t="e">
        <f t="shared" si="20"/>
        <v>#REF!</v>
      </c>
      <c r="F132" s="74" t="e">
        <f t="shared" si="21"/>
        <v>#REF!</v>
      </c>
      <c r="G132" s="74" t="e">
        <f t="shared" si="18"/>
        <v>#REF!</v>
      </c>
    </row>
    <row r="133" spans="1:7">
      <c r="A133" s="73"/>
      <c r="B133" s="73" t="s">
        <v>109</v>
      </c>
      <c r="C133" s="74" t="e">
        <f t="shared" si="19"/>
        <v>#REF!</v>
      </c>
      <c r="D133" s="74" t="e">
        <f t="shared" si="16"/>
        <v>#REF!</v>
      </c>
      <c r="E133" s="74" t="e">
        <f t="shared" si="20"/>
        <v>#REF!</v>
      </c>
      <c r="F133" s="74" t="e">
        <f t="shared" si="21"/>
        <v>#REF!</v>
      </c>
      <c r="G133" s="74" t="e">
        <f t="shared" si="18"/>
        <v>#REF!</v>
      </c>
    </row>
    <row r="134" spans="1:7">
      <c r="A134" s="73"/>
      <c r="B134" s="73" t="s">
        <v>110</v>
      </c>
      <c r="C134" s="74" t="e">
        <f t="shared" si="19"/>
        <v>#REF!</v>
      </c>
      <c r="D134" s="74" t="e">
        <f t="shared" si="16"/>
        <v>#REF!</v>
      </c>
      <c r="E134" s="74" t="e">
        <f t="shared" si="20"/>
        <v>#REF!</v>
      </c>
      <c r="F134" s="74" t="e">
        <f t="shared" si="21"/>
        <v>#REF!</v>
      </c>
      <c r="G134" s="74" t="e">
        <f t="shared" si="18"/>
        <v>#REF!</v>
      </c>
    </row>
    <row r="135" spans="1:7">
      <c r="A135" s="73"/>
      <c r="B135" s="73" t="s">
        <v>111</v>
      </c>
      <c r="C135" s="74" t="e">
        <f t="shared" si="19"/>
        <v>#REF!</v>
      </c>
      <c r="D135" s="74" t="e">
        <f t="shared" si="16"/>
        <v>#REF!</v>
      </c>
      <c r="E135" s="74" t="e">
        <f t="shared" si="20"/>
        <v>#REF!</v>
      </c>
      <c r="F135" s="74" t="e">
        <f t="shared" si="21"/>
        <v>#REF!</v>
      </c>
      <c r="G135" s="74" t="e">
        <f t="shared" si="18"/>
        <v>#REF!</v>
      </c>
    </row>
    <row r="136" spans="1:7">
      <c r="A136" s="73" t="s">
        <v>16</v>
      </c>
      <c r="B136" s="73" t="s">
        <v>112</v>
      </c>
      <c r="C136" s="74" t="e">
        <f t="shared" si="19"/>
        <v>#REF!</v>
      </c>
      <c r="D136" s="74" t="e">
        <f t="shared" si="16"/>
        <v>#REF!</v>
      </c>
      <c r="E136" s="74" t="e">
        <f t="shared" si="20"/>
        <v>#REF!</v>
      </c>
      <c r="F136" s="74" t="e">
        <f t="shared" si="21"/>
        <v>#REF!</v>
      </c>
      <c r="G136" s="74" t="e">
        <f t="shared" si="18"/>
        <v>#REF!</v>
      </c>
    </row>
    <row r="137" spans="1:7">
      <c r="A137" s="73"/>
      <c r="B137" s="73" t="s">
        <v>113</v>
      </c>
      <c r="C137" s="74" t="e">
        <f t="shared" si="19"/>
        <v>#REF!</v>
      </c>
      <c r="D137" s="74" t="e">
        <f t="shared" si="16"/>
        <v>#REF!</v>
      </c>
      <c r="E137" s="74" t="e">
        <f t="shared" si="20"/>
        <v>#REF!</v>
      </c>
      <c r="F137" s="74" t="e">
        <f t="shared" si="21"/>
        <v>#REF!</v>
      </c>
      <c r="G137" s="74" t="e">
        <f t="shared" si="18"/>
        <v>#REF!</v>
      </c>
    </row>
    <row r="138" spans="1:7">
      <c r="A138" s="73"/>
      <c r="B138" s="73" t="s">
        <v>114</v>
      </c>
      <c r="C138" s="74" t="e">
        <f t="shared" si="19"/>
        <v>#REF!</v>
      </c>
      <c r="D138" s="74" t="e">
        <f t="shared" si="16"/>
        <v>#REF!</v>
      </c>
      <c r="E138" s="74" t="e">
        <f t="shared" si="20"/>
        <v>#REF!</v>
      </c>
      <c r="F138" s="74" t="e">
        <f t="shared" si="21"/>
        <v>#REF!</v>
      </c>
      <c r="G138" s="74" t="e">
        <f t="shared" si="18"/>
        <v>#REF!</v>
      </c>
    </row>
    <row r="139" spans="1:7">
      <c r="A139" s="73"/>
      <c r="B139" s="73" t="s">
        <v>115</v>
      </c>
      <c r="C139" s="74" t="e">
        <f t="shared" si="19"/>
        <v>#REF!</v>
      </c>
      <c r="D139" s="74" t="e">
        <f t="shared" si="16"/>
        <v>#REF!</v>
      </c>
      <c r="E139" s="74" t="e">
        <f t="shared" si="20"/>
        <v>#REF!</v>
      </c>
      <c r="F139" s="74" t="e">
        <f t="shared" si="21"/>
        <v>#REF!</v>
      </c>
      <c r="G139" s="74" t="e">
        <f t="shared" si="18"/>
        <v>#REF!</v>
      </c>
    </row>
    <row r="140" spans="1:7">
      <c r="A140" s="73"/>
      <c r="B140" s="73" t="s">
        <v>116</v>
      </c>
      <c r="C140" s="74" t="e">
        <f t="shared" si="19"/>
        <v>#REF!</v>
      </c>
      <c r="D140" s="74" t="e">
        <f t="shared" si="16"/>
        <v>#REF!</v>
      </c>
      <c r="E140" s="74" t="e">
        <f t="shared" si="20"/>
        <v>#REF!</v>
      </c>
      <c r="F140" s="74" t="e">
        <f t="shared" si="21"/>
        <v>#REF!</v>
      </c>
      <c r="G140" s="74" t="e">
        <f t="shared" si="18"/>
        <v>#REF!</v>
      </c>
    </row>
    <row r="141" spans="1:7">
      <c r="A141" s="73"/>
      <c r="B141" s="73" t="s">
        <v>117</v>
      </c>
      <c r="C141" s="74" t="e">
        <f t="shared" si="19"/>
        <v>#REF!</v>
      </c>
      <c r="D141" s="74" t="e">
        <f t="shared" ref="D141:D159" si="22">C141*$B$71/12</f>
        <v>#REF!</v>
      </c>
      <c r="E141" s="74" t="e">
        <f t="shared" si="20"/>
        <v>#REF!</v>
      </c>
      <c r="F141" s="74" t="e">
        <f t="shared" si="21"/>
        <v>#REF!</v>
      </c>
      <c r="G141" s="74" t="e">
        <f t="shared" ref="G141:G159" si="23">C141-E141</f>
        <v>#REF!</v>
      </c>
    </row>
    <row r="142" spans="1:7">
      <c r="A142" s="73"/>
      <c r="B142" s="73" t="s">
        <v>118</v>
      </c>
      <c r="C142" s="74" t="e">
        <f t="shared" ref="C142:C159" si="24">G141</f>
        <v>#REF!</v>
      </c>
      <c r="D142" s="74" t="e">
        <f t="shared" si="22"/>
        <v>#REF!</v>
      </c>
      <c r="E142" s="74" t="e">
        <f t="shared" si="20"/>
        <v>#REF!</v>
      </c>
      <c r="F142" s="74" t="e">
        <f t="shared" si="21"/>
        <v>#REF!</v>
      </c>
      <c r="G142" s="74" t="e">
        <f t="shared" si="23"/>
        <v>#REF!</v>
      </c>
    </row>
    <row r="143" spans="1:7">
      <c r="A143" s="73"/>
      <c r="B143" s="73" t="s">
        <v>119</v>
      </c>
      <c r="C143" s="74" t="e">
        <f t="shared" si="24"/>
        <v>#REF!</v>
      </c>
      <c r="D143" s="74" t="e">
        <f t="shared" si="22"/>
        <v>#REF!</v>
      </c>
      <c r="E143" s="74" t="e">
        <f t="shared" si="20"/>
        <v>#REF!</v>
      </c>
      <c r="F143" s="74" t="e">
        <f t="shared" si="21"/>
        <v>#REF!</v>
      </c>
      <c r="G143" s="74" t="e">
        <f t="shared" si="23"/>
        <v>#REF!</v>
      </c>
    </row>
    <row r="144" spans="1:7">
      <c r="A144" s="73"/>
      <c r="B144" s="73" t="s">
        <v>120</v>
      </c>
      <c r="C144" s="74" t="e">
        <f t="shared" si="24"/>
        <v>#REF!</v>
      </c>
      <c r="D144" s="74" t="e">
        <f t="shared" si="22"/>
        <v>#REF!</v>
      </c>
      <c r="E144" s="74" t="e">
        <f t="shared" si="20"/>
        <v>#REF!</v>
      </c>
      <c r="F144" s="74" t="e">
        <f t="shared" si="21"/>
        <v>#REF!</v>
      </c>
      <c r="G144" s="74" t="e">
        <f t="shared" si="23"/>
        <v>#REF!</v>
      </c>
    </row>
    <row r="145" spans="1:7">
      <c r="A145" s="73"/>
      <c r="B145" s="73" t="s">
        <v>121</v>
      </c>
      <c r="C145" s="74" t="e">
        <f t="shared" si="24"/>
        <v>#REF!</v>
      </c>
      <c r="D145" s="74" t="e">
        <f t="shared" si="22"/>
        <v>#REF!</v>
      </c>
      <c r="E145" s="74" t="e">
        <f t="shared" si="20"/>
        <v>#REF!</v>
      </c>
      <c r="F145" s="74" t="e">
        <f t="shared" si="21"/>
        <v>#REF!</v>
      </c>
      <c r="G145" s="74" t="e">
        <f t="shared" si="23"/>
        <v>#REF!</v>
      </c>
    </row>
    <row r="146" spans="1:7">
      <c r="A146" s="73"/>
      <c r="B146" s="73" t="s">
        <v>122</v>
      </c>
      <c r="C146" s="74" t="e">
        <f t="shared" si="24"/>
        <v>#REF!</v>
      </c>
      <c r="D146" s="74" t="e">
        <f t="shared" si="22"/>
        <v>#REF!</v>
      </c>
      <c r="E146" s="74" t="e">
        <f t="shared" si="20"/>
        <v>#REF!</v>
      </c>
      <c r="F146" s="74" t="e">
        <f t="shared" si="21"/>
        <v>#REF!</v>
      </c>
      <c r="G146" s="74" t="e">
        <f t="shared" si="23"/>
        <v>#REF!</v>
      </c>
    </row>
    <row r="147" spans="1:7">
      <c r="A147" s="73"/>
      <c r="B147" s="73" t="s">
        <v>123</v>
      </c>
      <c r="C147" s="74" t="e">
        <f t="shared" si="24"/>
        <v>#REF!</v>
      </c>
      <c r="D147" s="74" t="e">
        <f t="shared" si="22"/>
        <v>#REF!</v>
      </c>
      <c r="E147" s="74" t="e">
        <f t="shared" ref="E147:E159" si="25">F147-D147</f>
        <v>#REF!</v>
      </c>
      <c r="F147" s="74" t="e">
        <f t="shared" ref="F147:F159" si="26">$B$74</f>
        <v>#REF!</v>
      </c>
      <c r="G147" s="74" t="e">
        <f t="shared" si="23"/>
        <v>#REF!</v>
      </c>
    </row>
    <row r="148" spans="1:7">
      <c r="A148" s="73" t="s">
        <v>275</v>
      </c>
      <c r="B148" s="73" t="s">
        <v>210</v>
      </c>
      <c r="C148" s="74" t="e">
        <f t="shared" si="24"/>
        <v>#REF!</v>
      </c>
      <c r="D148" s="74" t="e">
        <f t="shared" si="22"/>
        <v>#REF!</v>
      </c>
      <c r="E148" s="74" t="e">
        <f t="shared" si="25"/>
        <v>#REF!</v>
      </c>
      <c r="F148" s="74" t="e">
        <f t="shared" si="26"/>
        <v>#REF!</v>
      </c>
      <c r="G148" s="74" t="e">
        <f t="shared" si="23"/>
        <v>#REF!</v>
      </c>
    </row>
    <row r="149" spans="1:7">
      <c r="A149" s="73"/>
      <c r="B149" s="73" t="s">
        <v>211</v>
      </c>
      <c r="C149" s="74" t="e">
        <f t="shared" si="24"/>
        <v>#REF!</v>
      </c>
      <c r="D149" s="74" t="e">
        <f t="shared" si="22"/>
        <v>#REF!</v>
      </c>
      <c r="E149" s="74" t="e">
        <f t="shared" si="25"/>
        <v>#REF!</v>
      </c>
      <c r="F149" s="74" t="e">
        <f t="shared" si="26"/>
        <v>#REF!</v>
      </c>
      <c r="G149" s="74" t="e">
        <f t="shared" si="23"/>
        <v>#REF!</v>
      </c>
    </row>
    <row r="150" spans="1:7">
      <c r="A150" s="73"/>
      <c r="B150" s="73" t="s">
        <v>212</v>
      </c>
      <c r="C150" s="74" t="e">
        <f t="shared" si="24"/>
        <v>#REF!</v>
      </c>
      <c r="D150" s="74" t="e">
        <f t="shared" si="22"/>
        <v>#REF!</v>
      </c>
      <c r="E150" s="74" t="e">
        <f t="shared" si="25"/>
        <v>#REF!</v>
      </c>
      <c r="F150" s="74" t="e">
        <f t="shared" si="26"/>
        <v>#REF!</v>
      </c>
      <c r="G150" s="74" t="e">
        <f t="shared" si="23"/>
        <v>#REF!</v>
      </c>
    </row>
    <row r="151" spans="1:7">
      <c r="A151" s="73"/>
      <c r="B151" s="73" t="s">
        <v>213</v>
      </c>
      <c r="C151" s="74" t="e">
        <f t="shared" si="24"/>
        <v>#REF!</v>
      </c>
      <c r="D151" s="74" t="e">
        <f t="shared" si="22"/>
        <v>#REF!</v>
      </c>
      <c r="E151" s="74" t="e">
        <f t="shared" si="25"/>
        <v>#REF!</v>
      </c>
      <c r="F151" s="74" t="e">
        <f t="shared" si="26"/>
        <v>#REF!</v>
      </c>
      <c r="G151" s="74" t="e">
        <f t="shared" si="23"/>
        <v>#REF!</v>
      </c>
    </row>
    <row r="152" spans="1:7">
      <c r="A152" s="73"/>
      <c r="B152" s="73" t="s">
        <v>214</v>
      </c>
      <c r="C152" s="74" t="e">
        <f t="shared" si="24"/>
        <v>#REF!</v>
      </c>
      <c r="D152" s="74" t="e">
        <f t="shared" si="22"/>
        <v>#REF!</v>
      </c>
      <c r="E152" s="74" t="e">
        <f t="shared" si="25"/>
        <v>#REF!</v>
      </c>
      <c r="F152" s="74" t="e">
        <f t="shared" si="26"/>
        <v>#REF!</v>
      </c>
      <c r="G152" s="74" t="e">
        <f t="shared" si="23"/>
        <v>#REF!</v>
      </c>
    </row>
    <row r="153" spans="1:7">
      <c r="A153" s="73"/>
      <c r="B153" s="73" t="s">
        <v>215</v>
      </c>
      <c r="C153" s="74" t="e">
        <f t="shared" si="24"/>
        <v>#REF!</v>
      </c>
      <c r="D153" s="74" t="e">
        <f t="shared" si="22"/>
        <v>#REF!</v>
      </c>
      <c r="E153" s="74" t="e">
        <f t="shared" si="25"/>
        <v>#REF!</v>
      </c>
      <c r="F153" s="74" t="e">
        <f t="shared" si="26"/>
        <v>#REF!</v>
      </c>
      <c r="G153" s="74" t="e">
        <f t="shared" si="23"/>
        <v>#REF!</v>
      </c>
    </row>
    <row r="154" spans="1:7">
      <c r="A154" s="73"/>
      <c r="B154" s="73" t="s">
        <v>216</v>
      </c>
      <c r="C154" s="74" t="e">
        <f t="shared" si="24"/>
        <v>#REF!</v>
      </c>
      <c r="D154" s="74" t="e">
        <f t="shared" si="22"/>
        <v>#REF!</v>
      </c>
      <c r="E154" s="74" t="e">
        <f t="shared" si="25"/>
        <v>#REF!</v>
      </c>
      <c r="F154" s="74" t="e">
        <f t="shared" si="26"/>
        <v>#REF!</v>
      </c>
      <c r="G154" s="74" t="e">
        <f t="shared" si="23"/>
        <v>#REF!</v>
      </c>
    </row>
    <row r="155" spans="1:7">
      <c r="A155" s="73"/>
      <c r="B155" s="73" t="s">
        <v>217</v>
      </c>
      <c r="C155" s="74" t="e">
        <f t="shared" si="24"/>
        <v>#REF!</v>
      </c>
      <c r="D155" s="74" t="e">
        <f t="shared" si="22"/>
        <v>#REF!</v>
      </c>
      <c r="E155" s="74" t="e">
        <f t="shared" si="25"/>
        <v>#REF!</v>
      </c>
      <c r="F155" s="74" t="e">
        <f t="shared" si="26"/>
        <v>#REF!</v>
      </c>
      <c r="G155" s="74" t="e">
        <f t="shared" si="23"/>
        <v>#REF!</v>
      </c>
    </row>
    <row r="156" spans="1:7">
      <c r="A156" s="73"/>
      <c r="B156" s="73" t="s">
        <v>218</v>
      </c>
      <c r="C156" s="74" t="e">
        <f t="shared" si="24"/>
        <v>#REF!</v>
      </c>
      <c r="D156" s="74" t="e">
        <f t="shared" si="22"/>
        <v>#REF!</v>
      </c>
      <c r="E156" s="74" t="e">
        <f t="shared" si="25"/>
        <v>#REF!</v>
      </c>
      <c r="F156" s="74" t="e">
        <f t="shared" si="26"/>
        <v>#REF!</v>
      </c>
      <c r="G156" s="74" t="e">
        <f t="shared" si="23"/>
        <v>#REF!</v>
      </c>
    </row>
    <row r="157" spans="1:7">
      <c r="A157" s="73"/>
      <c r="B157" s="73" t="s">
        <v>219</v>
      </c>
      <c r="C157" s="74" t="e">
        <f t="shared" si="24"/>
        <v>#REF!</v>
      </c>
      <c r="D157" s="74" t="e">
        <f t="shared" si="22"/>
        <v>#REF!</v>
      </c>
      <c r="E157" s="74" t="e">
        <f t="shared" si="25"/>
        <v>#REF!</v>
      </c>
      <c r="F157" s="74" t="e">
        <f t="shared" si="26"/>
        <v>#REF!</v>
      </c>
      <c r="G157" s="74" t="e">
        <f t="shared" si="23"/>
        <v>#REF!</v>
      </c>
    </row>
    <row r="158" spans="1:7">
      <c r="A158" s="73"/>
      <c r="B158" s="73" t="s">
        <v>220</v>
      </c>
      <c r="C158" s="74" t="e">
        <f t="shared" si="24"/>
        <v>#REF!</v>
      </c>
      <c r="D158" s="74" t="e">
        <f t="shared" si="22"/>
        <v>#REF!</v>
      </c>
      <c r="E158" s="74" t="e">
        <f t="shared" si="25"/>
        <v>#REF!</v>
      </c>
      <c r="F158" s="74" t="e">
        <f t="shared" si="26"/>
        <v>#REF!</v>
      </c>
      <c r="G158" s="74" t="e">
        <f t="shared" si="23"/>
        <v>#REF!</v>
      </c>
    </row>
    <row r="159" spans="1:7">
      <c r="A159" s="73"/>
      <c r="B159" s="73" t="s">
        <v>221</v>
      </c>
      <c r="C159" s="74" t="e">
        <f t="shared" si="24"/>
        <v>#REF!</v>
      </c>
      <c r="D159" s="74" t="e">
        <f t="shared" si="22"/>
        <v>#REF!</v>
      </c>
      <c r="E159" s="74" t="e">
        <f t="shared" si="25"/>
        <v>#REF!</v>
      </c>
      <c r="F159" s="74" t="e">
        <f t="shared" si="26"/>
        <v>#REF!</v>
      </c>
      <c r="G159" s="74" t="e">
        <f t="shared" si="23"/>
        <v>#REF!</v>
      </c>
    </row>
    <row r="166" spans="1:9" ht="18.75">
      <c r="A166" s="446" t="s">
        <v>549</v>
      </c>
      <c r="B166" s="446"/>
      <c r="C166" s="446"/>
      <c r="D166" s="446"/>
      <c r="E166" s="446"/>
      <c r="F166" s="446"/>
      <c r="G166" s="446"/>
      <c r="H166" s="446"/>
      <c r="I166" s="446"/>
    </row>
    <row r="167" spans="1:9" ht="16.5">
      <c r="A167" s="7"/>
      <c r="B167" s="7"/>
      <c r="C167" s="7"/>
      <c r="D167" s="7"/>
      <c r="E167" s="7"/>
      <c r="F167" s="7"/>
      <c r="G167" s="7"/>
      <c r="H167" s="7"/>
      <c r="I167" s="7"/>
    </row>
    <row r="168" spans="1:9" ht="15.75">
      <c r="A168" s="67" t="s">
        <v>29</v>
      </c>
      <c r="B168" s="68" t="s">
        <v>328</v>
      </c>
      <c r="C168" s="68" t="s">
        <v>2</v>
      </c>
      <c r="D168" s="68" t="s">
        <v>3</v>
      </c>
      <c r="E168" s="68" t="s">
        <v>4</v>
      </c>
      <c r="F168" s="68" t="s">
        <v>5</v>
      </c>
      <c r="G168" s="68" t="s">
        <v>6</v>
      </c>
      <c r="H168" s="68" t="s">
        <v>168</v>
      </c>
      <c r="I168" s="68" t="s">
        <v>167</v>
      </c>
    </row>
    <row r="169" spans="1:9">
      <c r="A169" s="59"/>
      <c r="B169" s="59"/>
      <c r="C169" s="59"/>
      <c r="D169" s="59"/>
      <c r="E169" s="59"/>
      <c r="F169" s="59"/>
      <c r="G169" s="59"/>
      <c r="H169" s="59"/>
      <c r="I169" s="59"/>
    </row>
    <row r="170" spans="1:9">
      <c r="A170" s="59" t="s">
        <v>368</v>
      </c>
      <c r="B170" s="59"/>
      <c r="C170" s="69" t="e">
        <f>B51</f>
        <v>#REF!</v>
      </c>
      <c r="D170" s="69" t="e">
        <f t="shared" ref="D170:I170" si="27">C51</f>
        <v>#REF!</v>
      </c>
      <c r="E170" s="69" t="e">
        <f t="shared" si="27"/>
        <v>#REF!</v>
      </c>
      <c r="F170" s="69" t="e">
        <f t="shared" si="27"/>
        <v>#REF!</v>
      </c>
      <c r="G170" s="69" t="e">
        <f t="shared" si="27"/>
        <v>#REF!</v>
      </c>
      <c r="H170" s="69" t="e">
        <f t="shared" si="27"/>
        <v>#REF!</v>
      </c>
      <c r="I170" s="69" t="e">
        <f t="shared" si="27"/>
        <v>#REF!</v>
      </c>
    </row>
    <row r="171" spans="1:9">
      <c r="A171" s="59"/>
      <c r="B171" s="59"/>
      <c r="C171" s="69"/>
      <c r="D171" s="69"/>
      <c r="E171" s="69"/>
      <c r="F171" s="69"/>
      <c r="G171" s="69"/>
      <c r="H171" s="69"/>
      <c r="I171" s="69"/>
    </row>
    <row r="172" spans="1:9">
      <c r="A172" s="61" t="s">
        <v>31</v>
      </c>
      <c r="B172" s="61"/>
      <c r="C172" s="69">
        <f>B42</f>
        <v>1252517.731892</v>
      </c>
      <c r="D172" s="69">
        <f t="shared" ref="D172:I173" si="28">C42</f>
        <v>1252517.731892</v>
      </c>
      <c r="E172" s="69">
        <f t="shared" si="28"/>
        <v>1252517.731892</v>
      </c>
      <c r="F172" s="69">
        <f t="shared" si="28"/>
        <v>1252517.731892</v>
      </c>
      <c r="G172" s="69">
        <f t="shared" si="28"/>
        <v>1252517.731892</v>
      </c>
      <c r="H172" s="69">
        <f t="shared" si="28"/>
        <v>1252517.731892</v>
      </c>
      <c r="I172" s="69">
        <f t="shared" si="28"/>
        <v>1252517.731892</v>
      </c>
    </row>
    <row r="173" spans="1:9">
      <c r="A173" s="59" t="s">
        <v>36</v>
      </c>
      <c r="B173" s="59"/>
      <c r="C173" s="69">
        <f>B43</f>
        <v>27000</v>
      </c>
      <c r="D173" s="69">
        <f t="shared" si="28"/>
        <v>27000</v>
      </c>
      <c r="E173" s="69">
        <f t="shared" si="28"/>
        <v>27000</v>
      </c>
      <c r="F173" s="69">
        <f t="shared" si="28"/>
        <v>27000</v>
      </c>
      <c r="G173" s="69">
        <f t="shared" si="28"/>
        <v>27000</v>
      </c>
      <c r="H173" s="69">
        <f t="shared" si="28"/>
        <v>0</v>
      </c>
      <c r="I173" s="69">
        <f t="shared" si="28"/>
        <v>0</v>
      </c>
    </row>
    <row r="174" spans="1:9">
      <c r="A174" s="59"/>
      <c r="B174" s="59"/>
      <c r="C174" s="59"/>
      <c r="D174" s="59"/>
      <c r="E174" s="59"/>
      <c r="F174" s="59"/>
      <c r="G174" s="59"/>
      <c r="H174" s="59"/>
      <c r="I174" s="59"/>
    </row>
    <row r="175" spans="1:9">
      <c r="A175" s="59" t="s">
        <v>32</v>
      </c>
      <c r="B175" s="59"/>
      <c r="C175" s="69" t="e">
        <f>SUM(C170:C173)</f>
        <v>#REF!</v>
      </c>
      <c r="D175" s="69" t="e">
        <f t="shared" ref="D175:I175" si="29">SUM(D170:D173)</f>
        <v>#REF!</v>
      </c>
      <c r="E175" s="69" t="e">
        <f t="shared" si="29"/>
        <v>#REF!</v>
      </c>
      <c r="F175" s="69" t="e">
        <f t="shared" si="29"/>
        <v>#REF!</v>
      </c>
      <c r="G175" s="69" t="e">
        <f t="shared" si="29"/>
        <v>#REF!</v>
      </c>
      <c r="H175" s="69" t="e">
        <f t="shared" si="29"/>
        <v>#REF!</v>
      </c>
      <c r="I175" s="69" t="e">
        <f t="shared" si="29"/>
        <v>#REF!</v>
      </c>
    </row>
    <row r="176" spans="1:9">
      <c r="A176" s="59" t="s">
        <v>337</v>
      </c>
      <c r="B176" s="70" t="e">
        <f>-'1.Project Cost and MOF'!#REF!</f>
        <v>#REF!</v>
      </c>
      <c r="C176" s="69" t="e">
        <f>C175</f>
        <v>#REF!</v>
      </c>
      <c r="D176" s="69" t="e">
        <f t="shared" ref="D176:I176" si="30">D175</f>
        <v>#REF!</v>
      </c>
      <c r="E176" s="69" t="e">
        <f t="shared" si="30"/>
        <v>#REF!</v>
      </c>
      <c r="F176" s="69" t="e">
        <f t="shared" si="30"/>
        <v>#REF!</v>
      </c>
      <c r="G176" s="69" t="e">
        <f t="shared" si="30"/>
        <v>#REF!</v>
      </c>
      <c r="H176" s="69" t="e">
        <f t="shared" si="30"/>
        <v>#REF!</v>
      </c>
      <c r="I176" s="69" t="e">
        <f t="shared" si="30"/>
        <v>#REF!</v>
      </c>
    </row>
    <row r="177" spans="1:9">
      <c r="A177" s="59" t="s">
        <v>276</v>
      </c>
      <c r="B177" s="224" t="e">
        <f>IRR(B176:I176)</f>
        <v>#VALUE!</v>
      </c>
      <c r="C177" s="69"/>
      <c r="D177" s="69"/>
      <c r="E177" s="69"/>
      <c r="F177" s="69"/>
      <c r="G177" s="69"/>
      <c r="H177" s="69"/>
      <c r="I177" s="69"/>
    </row>
    <row r="178" spans="1:9">
      <c r="A178" s="59"/>
      <c r="B178" s="59"/>
      <c r="C178" s="59"/>
      <c r="D178" s="59"/>
      <c r="E178" s="59"/>
      <c r="F178" s="59"/>
      <c r="G178" s="59"/>
      <c r="H178" s="59"/>
      <c r="I178" s="59"/>
    </row>
    <row r="179" spans="1:9" ht="16.5">
      <c r="A179" s="225" t="s">
        <v>395</v>
      </c>
      <c r="B179" s="225"/>
      <c r="C179" s="226" t="e">
        <f>1/(1+$B$177)</f>
        <v>#VALUE!</v>
      </c>
      <c r="D179" s="226" t="e">
        <f>C179/(1+$B$177)</f>
        <v>#VALUE!</v>
      </c>
      <c r="E179" s="226" t="e">
        <f>D179/(1+$B$177)</f>
        <v>#VALUE!</v>
      </c>
      <c r="F179" s="226" t="e">
        <f t="shared" ref="F179:I179" si="31">E179/(1+$B$177)</f>
        <v>#VALUE!</v>
      </c>
      <c r="G179" s="226" t="e">
        <f t="shared" si="31"/>
        <v>#VALUE!</v>
      </c>
      <c r="H179" s="226" t="e">
        <f t="shared" si="31"/>
        <v>#VALUE!</v>
      </c>
      <c r="I179" s="226" t="e">
        <f t="shared" si="31"/>
        <v>#VALUE!</v>
      </c>
    </row>
    <row r="180" spans="1:9">
      <c r="A180" s="59" t="s">
        <v>33</v>
      </c>
      <c r="B180" s="59"/>
      <c r="C180" s="69" t="e">
        <f t="shared" ref="C180:I180" si="32">C175*C179</f>
        <v>#REF!</v>
      </c>
      <c r="D180" s="69" t="e">
        <f t="shared" si="32"/>
        <v>#REF!</v>
      </c>
      <c r="E180" s="69" t="e">
        <f t="shared" si="32"/>
        <v>#REF!</v>
      </c>
      <c r="F180" s="69" t="e">
        <f t="shared" si="32"/>
        <v>#REF!</v>
      </c>
      <c r="G180" s="69" t="e">
        <f t="shared" si="32"/>
        <v>#REF!</v>
      </c>
      <c r="H180" s="69" t="e">
        <f t="shared" si="32"/>
        <v>#REF!</v>
      </c>
      <c r="I180" s="69" t="e">
        <f t="shared" si="32"/>
        <v>#REF!</v>
      </c>
    </row>
    <row r="181" spans="1:9">
      <c r="A181" s="59" t="s">
        <v>34</v>
      </c>
      <c r="B181" s="59"/>
      <c r="C181" s="453" t="e">
        <f>SUM(C180:I180)</f>
        <v>#REF!</v>
      </c>
      <c r="D181" s="453"/>
      <c r="E181" s="453"/>
      <c r="F181" s="453"/>
      <c r="G181" s="453"/>
      <c r="H181" s="453"/>
      <c r="I181" s="453"/>
    </row>
    <row r="182" spans="1:9">
      <c r="A182" s="59"/>
      <c r="B182" s="59"/>
      <c r="C182" s="69"/>
      <c r="D182" s="69"/>
      <c r="E182" s="69"/>
      <c r="F182" s="69"/>
      <c r="G182" s="69"/>
      <c r="H182" s="69"/>
      <c r="I182" s="69"/>
    </row>
    <row r="183" spans="1:9">
      <c r="A183" s="8" t="s">
        <v>35</v>
      </c>
      <c r="B183" s="8"/>
      <c r="C183" s="454" t="e">
        <f>-B176</f>
        <v>#REF!</v>
      </c>
      <c r="D183" s="454"/>
      <c r="E183" s="454"/>
      <c r="F183" s="454"/>
      <c r="G183" s="454"/>
      <c r="H183" s="454"/>
      <c r="I183" s="454"/>
    </row>
    <row r="184" spans="1:9">
      <c r="E184" s="14" t="e">
        <f>C181-C183</f>
        <v>#REF!</v>
      </c>
    </row>
    <row r="185" spans="1:9">
      <c r="A185" s="447" t="s">
        <v>412</v>
      </c>
      <c r="B185" s="447"/>
      <c r="C185" s="447"/>
      <c r="D185" s="447"/>
      <c r="E185" s="447"/>
      <c r="F185" s="447"/>
      <c r="G185" s="447"/>
      <c r="H185" s="447"/>
      <c r="I185" s="447"/>
    </row>
    <row r="187" spans="1:9" ht="18.75">
      <c r="A187" s="404" t="s">
        <v>550</v>
      </c>
      <c r="B187" s="404"/>
      <c r="C187" s="404"/>
      <c r="D187" s="404"/>
      <c r="E187" s="404"/>
      <c r="F187" s="404"/>
      <c r="G187" s="404"/>
      <c r="H187" s="404"/>
    </row>
    <row r="189" spans="1:9">
      <c r="A189" s="89" t="s">
        <v>0</v>
      </c>
      <c r="B189" s="80" t="s">
        <v>2</v>
      </c>
      <c r="C189" s="80" t="s">
        <v>3</v>
      </c>
      <c r="D189" s="80" t="s">
        <v>4</v>
      </c>
      <c r="E189" s="80" t="s">
        <v>5</v>
      </c>
      <c r="F189" s="80" t="s">
        <v>6</v>
      </c>
      <c r="G189" s="80" t="s">
        <v>168</v>
      </c>
      <c r="H189" s="80" t="s">
        <v>167</v>
      </c>
    </row>
    <row r="190" spans="1:9">
      <c r="A190" s="73"/>
      <c r="B190" s="73"/>
      <c r="C190" s="73"/>
      <c r="D190" s="73"/>
      <c r="E190" s="73"/>
      <c r="F190" s="73"/>
      <c r="G190" s="73"/>
      <c r="H190" s="73"/>
    </row>
    <row r="191" spans="1:9">
      <c r="A191" s="73" t="s">
        <v>37</v>
      </c>
      <c r="B191" s="73"/>
      <c r="C191" s="73"/>
      <c r="D191" s="73"/>
      <c r="E191" s="73"/>
      <c r="F191" s="73"/>
      <c r="G191" s="73"/>
      <c r="H191" s="73"/>
    </row>
    <row r="192" spans="1:9">
      <c r="A192" s="73"/>
      <c r="B192" s="74"/>
      <c r="C192" s="74"/>
      <c r="D192" s="74"/>
      <c r="E192" s="74"/>
      <c r="F192" s="74"/>
      <c r="G192" s="74"/>
      <c r="H192" s="74"/>
    </row>
    <row r="193" spans="1:8">
      <c r="A193" s="86" t="str">
        <f>A8</f>
        <v>Faclitiy 1 - Cleaning &amp; Grading</v>
      </c>
      <c r="B193" s="74">
        <f t="shared" ref="B193:H193" si="33">B8</f>
        <v>23906058.093605995</v>
      </c>
      <c r="C193" s="74">
        <f t="shared" si="33"/>
        <v>30606045.427735046</v>
      </c>
      <c r="D193" s="74">
        <f t="shared" si="33"/>
        <v>36760282.619858757</v>
      </c>
      <c r="E193" s="74">
        <f t="shared" si="33"/>
        <v>43453428.417625487</v>
      </c>
      <c r="F193" s="74">
        <f t="shared" si="33"/>
        <v>50723988.088619255</v>
      </c>
      <c r="G193" s="74">
        <f t="shared" si="33"/>
        <v>58612970.155668333</v>
      </c>
      <c r="H193" s="74">
        <f t="shared" si="33"/>
        <v>67164040.45920077</v>
      </c>
    </row>
    <row r="194" spans="1:8">
      <c r="A194" s="86" t="str">
        <f t="shared" ref="A194:H198" si="34">A9</f>
        <v>Faclitiy 2 - Processing Unit- Dal Mill</v>
      </c>
      <c r="B194" s="74">
        <f t="shared" si="34"/>
        <v>25323936.622074995</v>
      </c>
      <c r="C194" s="74">
        <f t="shared" si="34"/>
        <v>30491826.05984287</v>
      </c>
      <c r="D194" s="74">
        <f t="shared" si="34"/>
        <v>34957344.743260145</v>
      </c>
      <c r="E194" s="74">
        <f t="shared" si="34"/>
        <v>39793185.729869537</v>
      </c>
      <c r="F194" s="74">
        <f t="shared" si="34"/>
        <v>45025217.453281716</v>
      </c>
      <c r="G194" s="74">
        <f t="shared" si="34"/>
        <v>50680969.384710439</v>
      </c>
      <c r="H194" s="74">
        <f t="shared" si="34"/>
        <v>56789733.465648837</v>
      </c>
    </row>
    <row r="195" spans="1:8">
      <c r="A195" s="86" t="str">
        <f t="shared" si="34"/>
        <v>Faclitiy 3 - Warehouse</v>
      </c>
      <c r="B195" s="74">
        <f t="shared" si="34"/>
        <v>1152000</v>
      </c>
      <c r="C195" s="74">
        <f t="shared" si="34"/>
        <v>1285200.0000000002</v>
      </c>
      <c r="D195" s="74">
        <f t="shared" si="34"/>
        <v>1428840.0000000002</v>
      </c>
      <c r="E195" s="74">
        <f t="shared" si="34"/>
        <v>1583631.0000000007</v>
      </c>
      <c r="F195" s="74">
        <f t="shared" si="34"/>
        <v>1750329.0000000009</v>
      </c>
      <c r="G195" s="74">
        <f t="shared" si="34"/>
        <v>1837845.4500000011</v>
      </c>
      <c r="H195" s="74">
        <f t="shared" si="34"/>
        <v>1929737.7225000013</v>
      </c>
    </row>
    <row r="196" spans="1:8">
      <c r="A196" s="86" t="str">
        <f t="shared" si="34"/>
        <v xml:space="preserve">Faclitiy 4 - Custom Hiring </v>
      </c>
      <c r="B196" s="74">
        <f t="shared" si="34"/>
        <v>0</v>
      </c>
      <c r="C196" s="74">
        <f t="shared" si="34"/>
        <v>0</v>
      </c>
      <c r="D196" s="74">
        <f t="shared" si="34"/>
        <v>0</v>
      </c>
      <c r="E196" s="74">
        <f t="shared" si="34"/>
        <v>0</v>
      </c>
      <c r="F196" s="74">
        <f t="shared" si="34"/>
        <v>0</v>
      </c>
      <c r="G196" s="74">
        <f t="shared" si="34"/>
        <v>0</v>
      </c>
      <c r="H196" s="74">
        <f t="shared" si="34"/>
        <v>0</v>
      </c>
    </row>
    <row r="197" spans="1:8">
      <c r="A197" s="86" t="str">
        <f t="shared" si="34"/>
        <v>Faclitiy 5 - Agri Input Centre</v>
      </c>
      <c r="B197" s="74">
        <f t="shared" si="34"/>
        <v>0</v>
      </c>
      <c r="C197" s="74">
        <f t="shared" si="34"/>
        <v>0</v>
      </c>
      <c r="D197" s="74">
        <f t="shared" si="34"/>
        <v>0</v>
      </c>
      <c r="E197" s="74">
        <f t="shared" si="34"/>
        <v>0</v>
      </c>
      <c r="F197" s="74">
        <f t="shared" si="34"/>
        <v>0</v>
      </c>
      <c r="G197" s="74">
        <f t="shared" si="34"/>
        <v>0</v>
      </c>
      <c r="H197" s="74">
        <f t="shared" si="34"/>
        <v>0</v>
      </c>
    </row>
    <row r="198" spans="1:8">
      <c r="A198" s="86" t="str">
        <f t="shared" si="34"/>
        <v>Facility 6 - Processing Unit - Horti Commodity</v>
      </c>
      <c r="B198" s="74">
        <f t="shared" si="34"/>
        <v>0</v>
      </c>
      <c r="C198" s="74">
        <f t="shared" si="34"/>
        <v>0</v>
      </c>
      <c r="D198" s="74">
        <f t="shared" si="34"/>
        <v>0</v>
      </c>
      <c r="E198" s="74">
        <f t="shared" si="34"/>
        <v>0</v>
      </c>
      <c r="F198" s="74">
        <f t="shared" si="34"/>
        <v>0</v>
      </c>
      <c r="G198" s="74">
        <f t="shared" si="34"/>
        <v>0</v>
      </c>
      <c r="H198" s="74">
        <f t="shared" si="34"/>
        <v>0</v>
      </c>
    </row>
    <row r="199" spans="1:8">
      <c r="A199" s="86"/>
      <c r="B199" s="86"/>
      <c r="C199" s="86"/>
      <c r="D199" s="86"/>
      <c r="E199" s="86"/>
      <c r="F199" s="86"/>
      <c r="G199" s="86"/>
      <c r="H199" s="86"/>
    </row>
    <row r="200" spans="1:8">
      <c r="A200" s="75" t="s">
        <v>8</v>
      </c>
      <c r="B200" s="91">
        <f>SUM(B193:B199)</f>
        <v>50381994.715680987</v>
      </c>
      <c r="C200" s="91">
        <f t="shared" ref="C200:H200" si="35">SUM(C193:C199)</f>
        <v>62383071.487577915</v>
      </c>
      <c r="D200" s="91">
        <f t="shared" si="35"/>
        <v>73146467.363118902</v>
      </c>
      <c r="E200" s="91">
        <f t="shared" si="35"/>
        <v>84830245.147495031</v>
      </c>
      <c r="F200" s="91">
        <f t="shared" si="35"/>
        <v>97499534.541900963</v>
      </c>
      <c r="G200" s="91">
        <f t="shared" si="35"/>
        <v>111131784.99037878</v>
      </c>
      <c r="H200" s="91">
        <f t="shared" si="35"/>
        <v>125883511.6473496</v>
      </c>
    </row>
    <row r="201" spans="1:8">
      <c r="A201" s="73"/>
      <c r="B201" s="74"/>
      <c r="C201" s="74"/>
      <c r="D201" s="74"/>
      <c r="E201" s="74"/>
      <c r="F201" s="74"/>
      <c r="G201" s="74"/>
      <c r="H201" s="74"/>
    </row>
    <row r="202" spans="1:8">
      <c r="A202" s="73" t="s">
        <v>38</v>
      </c>
      <c r="B202" s="74">
        <f>B25</f>
        <v>44279525.164500542</v>
      </c>
      <c r="C202" s="74">
        <f t="shared" ref="C202:H202" si="36">C25</f>
        <v>54090328.428730629</v>
      </c>
      <c r="D202" s="74">
        <f t="shared" si="36"/>
        <v>63401530.084520414</v>
      </c>
      <c r="E202" s="74">
        <f t="shared" si="36"/>
        <v>73508626.084817365</v>
      </c>
      <c r="F202" s="74">
        <f t="shared" si="36"/>
        <v>84467927.859932691</v>
      </c>
      <c r="G202" s="74">
        <f t="shared" si="36"/>
        <v>96339388.247347549</v>
      </c>
      <c r="H202" s="74">
        <f t="shared" si="36"/>
        <v>109186824.85385402</v>
      </c>
    </row>
    <row r="203" spans="1:8">
      <c r="A203" s="73"/>
      <c r="B203" s="74"/>
      <c r="C203" s="74"/>
      <c r="D203" s="74"/>
      <c r="E203" s="74"/>
      <c r="F203" s="74"/>
      <c r="G203" s="74"/>
      <c r="H203" s="74"/>
    </row>
    <row r="204" spans="1:8">
      <c r="A204" s="75" t="s">
        <v>39</v>
      </c>
      <c r="B204" s="91">
        <f>B200-B202</f>
        <v>6102469.5511804447</v>
      </c>
      <c r="C204" s="91">
        <f t="shared" ref="C204:H204" si="37">C200-C202</f>
        <v>8292743.0588472858</v>
      </c>
      <c r="D204" s="91">
        <f t="shared" si="37"/>
        <v>9744937.2785984874</v>
      </c>
      <c r="E204" s="91">
        <f t="shared" si="37"/>
        <v>11321619.062677667</v>
      </c>
      <c r="F204" s="91">
        <f t="shared" si="37"/>
        <v>13031606.681968272</v>
      </c>
      <c r="G204" s="91">
        <f t="shared" si="37"/>
        <v>14792396.743031234</v>
      </c>
      <c r="H204" s="91">
        <f t="shared" si="37"/>
        <v>16696686.793495581</v>
      </c>
    </row>
    <row r="205" spans="1:8">
      <c r="A205" s="73"/>
      <c r="B205" s="74"/>
      <c r="C205" s="74"/>
      <c r="D205" s="74"/>
      <c r="E205" s="74"/>
      <c r="F205" s="74"/>
      <c r="G205" s="74"/>
      <c r="H205" s="74"/>
    </row>
    <row r="206" spans="1:8">
      <c r="A206" s="75" t="s">
        <v>41</v>
      </c>
      <c r="B206" s="91">
        <f>B36+B42+B43</f>
        <v>3491517.731892</v>
      </c>
      <c r="C206" s="91">
        <f t="shared" ref="C206:H206" si="38">C36+C42+C43</f>
        <v>3602117.731892</v>
      </c>
      <c r="D206" s="91">
        <f t="shared" si="38"/>
        <v>3718247.731892</v>
      </c>
      <c r="E206" s="91">
        <f t="shared" si="38"/>
        <v>3840184.2318920004</v>
      </c>
      <c r="F206" s="91">
        <f t="shared" si="38"/>
        <v>3968217.5568920001</v>
      </c>
      <c r="G206" s="91">
        <f t="shared" si="38"/>
        <v>4075652.5481420006</v>
      </c>
      <c r="H206" s="91">
        <f t="shared" si="38"/>
        <v>4216809.288954501</v>
      </c>
    </row>
    <row r="207" spans="1:8">
      <c r="A207" s="73"/>
      <c r="B207" s="73"/>
      <c r="C207" s="73"/>
      <c r="D207" s="73"/>
      <c r="E207" s="73"/>
      <c r="F207" s="73"/>
      <c r="G207" s="73"/>
      <c r="H207" s="73"/>
    </row>
    <row r="208" spans="1:8">
      <c r="A208" s="73" t="s">
        <v>40</v>
      </c>
      <c r="B208" s="90">
        <f>B206/B204</f>
        <v>0.57214832497060319</v>
      </c>
      <c r="C208" s="90">
        <f>C206/C204</f>
        <v>0.43436987090164403</v>
      </c>
      <c r="D208" s="90">
        <f>D206/D204</f>
        <v>0.38155686646212633</v>
      </c>
      <c r="E208" s="90">
        <f>E206/E204</f>
        <v>0.33919037644989991</v>
      </c>
      <c r="F208" s="90">
        <f>F206/F204</f>
        <v>0.30450716122232191</v>
      </c>
      <c r="G208" s="90">
        <f t="shared" ref="G208:H208" si="39">G206/G204</f>
        <v>0.27552347458920473</v>
      </c>
      <c r="H208" s="90">
        <f t="shared" si="39"/>
        <v>0.25255365577062966</v>
      </c>
    </row>
    <row r="209" spans="1:9">
      <c r="A209" s="72"/>
      <c r="B209" s="72"/>
      <c r="C209" s="72"/>
      <c r="D209" s="72"/>
      <c r="E209" s="72"/>
      <c r="F209" s="72"/>
      <c r="G209" s="72"/>
      <c r="H209" s="72"/>
    </row>
    <row r="210" spans="1:9">
      <c r="A210" s="92" t="s">
        <v>134</v>
      </c>
      <c r="B210" s="93">
        <f>AVERAGE(B208:H208)</f>
        <v>0.36569281862377562</v>
      </c>
      <c r="C210" s="72"/>
      <c r="D210" s="72"/>
      <c r="E210" s="72"/>
      <c r="F210" s="72"/>
      <c r="G210" s="72"/>
      <c r="H210" s="72"/>
    </row>
    <row r="212" spans="1:9">
      <c r="A212" s="448" t="s">
        <v>413</v>
      </c>
      <c r="B212" s="448"/>
      <c r="C212" s="448"/>
      <c r="D212" s="448"/>
      <c r="E212" s="448"/>
      <c r="F212" s="448"/>
      <c r="G212" s="448"/>
      <c r="H212" s="448"/>
      <c r="I212" s="448"/>
    </row>
    <row r="215" spans="1:9" ht="18.75">
      <c r="A215" s="404" t="s">
        <v>551</v>
      </c>
      <c r="B215" s="404"/>
      <c r="C215" s="404"/>
      <c r="D215" s="404"/>
      <c r="E215" s="404"/>
      <c r="F215" s="404"/>
      <c r="G215" s="404"/>
      <c r="H215" s="404"/>
    </row>
    <row r="217" spans="1:9">
      <c r="A217" s="64" t="s">
        <v>29</v>
      </c>
      <c r="B217" s="65" t="s">
        <v>2</v>
      </c>
      <c r="C217" s="65" t="s">
        <v>3</v>
      </c>
      <c r="D217" s="65" t="s">
        <v>4</v>
      </c>
      <c r="E217" s="65" t="s">
        <v>5</v>
      </c>
      <c r="F217" s="65" t="s">
        <v>6</v>
      </c>
      <c r="G217" s="65" t="s">
        <v>168</v>
      </c>
      <c r="H217" s="65" t="s">
        <v>167</v>
      </c>
    </row>
    <row r="218" spans="1:9">
      <c r="A218" s="73"/>
      <c r="B218" s="73"/>
      <c r="C218" s="73"/>
      <c r="D218" s="73"/>
      <c r="E218" s="73"/>
      <c r="F218" s="73"/>
      <c r="G218" s="73"/>
      <c r="H218" s="73"/>
    </row>
    <row r="219" spans="1:9">
      <c r="A219" s="73" t="s">
        <v>368</v>
      </c>
      <c r="B219" s="275" t="e">
        <f>B51</f>
        <v>#REF!</v>
      </c>
      <c r="C219" s="275" t="e">
        <f t="shared" ref="C219:H219" si="40">C51</f>
        <v>#REF!</v>
      </c>
      <c r="D219" s="275" t="e">
        <f t="shared" si="40"/>
        <v>#REF!</v>
      </c>
      <c r="E219" s="275" t="e">
        <f t="shared" si="40"/>
        <v>#REF!</v>
      </c>
      <c r="F219" s="275" t="e">
        <f t="shared" si="40"/>
        <v>#REF!</v>
      </c>
      <c r="G219" s="275" t="e">
        <f t="shared" si="40"/>
        <v>#REF!</v>
      </c>
      <c r="H219" s="275" t="e">
        <f t="shared" si="40"/>
        <v>#REF!</v>
      </c>
    </row>
    <row r="220" spans="1:9">
      <c r="A220" s="73"/>
      <c r="B220" s="275"/>
      <c r="C220" s="275"/>
      <c r="D220" s="275"/>
      <c r="E220" s="275"/>
      <c r="F220" s="275"/>
      <c r="G220" s="275"/>
      <c r="H220" s="275"/>
    </row>
    <row r="221" spans="1:9">
      <c r="A221" s="73" t="s">
        <v>42</v>
      </c>
      <c r="B221" s="275">
        <f>B42</f>
        <v>1252517.731892</v>
      </c>
      <c r="C221" s="275">
        <f t="shared" ref="C221:H222" si="41">C42</f>
        <v>1252517.731892</v>
      </c>
      <c r="D221" s="275">
        <f t="shared" si="41"/>
        <v>1252517.731892</v>
      </c>
      <c r="E221" s="275">
        <f t="shared" si="41"/>
        <v>1252517.731892</v>
      </c>
      <c r="F221" s="275">
        <f t="shared" si="41"/>
        <v>1252517.731892</v>
      </c>
      <c r="G221" s="275">
        <f t="shared" si="41"/>
        <v>1252517.731892</v>
      </c>
      <c r="H221" s="275">
        <f t="shared" si="41"/>
        <v>1252517.731892</v>
      </c>
    </row>
    <row r="222" spans="1:9">
      <c r="A222" s="85" t="s">
        <v>48</v>
      </c>
      <c r="B222" s="275">
        <f>B43</f>
        <v>27000</v>
      </c>
      <c r="C222" s="275">
        <f t="shared" si="41"/>
        <v>27000</v>
      </c>
      <c r="D222" s="275">
        <f t="shared" si="41"/>
        <v>27000</v>
      </c>
      <c r="E222" s="275">
        <f t="shared" si="41"/>
        <v>27000</v>
      </c>
      <c r="F222" s="275">
        <f t="shared" si="41"/>
        <v>27000</v>
      </c>
      <c r="G222" s="275">
        <f t="shared" si="41"/>
        <v>0</v>
      </c>
      <c r="H222" s="275">
        <f t="shared" si="41"/>
        <v>0</v>
      </c>
    </row>
    <row r="223" spans="1:9">
      <c r="A223" s="73"/>
      <c r="B223" s="275"/>
      <c r="C223" s="275"/>
      <c r="D223" s="275"/>
      <c r="E223" s="275"/>
      <c r="F223" s="275"/>
      <c r="G223" s="275"/>
      <c r="H223" s="275"/>
    </row>
    <row r="224" spans="1:9">
      <c r="A224" s="73" t="s">
        <v>32</v>
      </c>
      <c r="B224" s="275" t="e">
        <f>SUM(B219:B222)</f>
        <v>#REF!</v>
      </c>
      <c r="C224" s="275" t="e">
        <f t="shared" ref="C224:H224" si="42">SUM(C219:C222)</f>
        <v>#REF!</v>
      </c>
      <c r="D224" s="275" t="e">
        <f t="shared" si="42"/>
        <v>#REF!</v>
      </c>
      <c r="E224" s="275" t="e">
        <f t="shared" si="42"/>
        <v>#REF!</v>
      </c>
      <c r="F224" s="275" t="e">
        <f t="shared" si="42"/>
        <v>#REF!</v>
      </c>
      <c r="G224" s="275" t="e">
        <f t="shared" si="42"/>
        <v>#REF!</v>
      </c>
      <c r="H224" s="275" t="e">
        <f t="shared" si="42"/>
        <v>#REF!</v>
      </c>
    </row>
    <row r="225" spans="1:9">
      <c r="A225" s="73"/>
      <c r="B225" s="73"/>
      <c r="C225" s="73"/>
      <c r="D225" s="73"/>
      <c r="E225" s="73"/>
      <c r="F225" s="73"/>
      <c r="G225" s="73"/>
      <c r="H225" s="73"/>
    </row>
    <row r="226" spans="1:9" ht="16.5">
      <c r="A226" s="10" t="s">
        <v>43</v>
      </c>
      <c r="B226" s="86">
        <f>1/1.1</f>
        <v>0.90909090909090906</v>
      </c>
      <c r="C226" s="86">
        <f t="shared" ref="C226:H226" si="43">B226/1.1</f>
        <v>0.82644628099173545</v>
      </c>
      <c r="D226" s="86">
        <f t="shared" si="43"/>
        <v>0.75131480090157765</v>
      </c>
      <c r="E226" s="86">
        <f t="shared" si="43"/>
        <v>0.68301345536507052</v>
      </c>
      <c r="F226" s="86">
        <f t="shared" si="43"/>
        <v>0.62092132305915493</v>
      </c>
      <c r="G226" s="86">
        <f t="shared" si="43"/>
        <v>0.56447393005377711</v>
      </c>
      <c r="H226" s="86">
        <f t="shared" si="43"/>
        <v>0.51315811823070645</v>
      </c>
    </row>
    <row r="227" spans="1:9">
      <c r="A227" s="73"/>
      <c r="B227" s="73"/>
      <c r="C227" s="73"/>
      <c r="D227" s="73"/>
      <c r="E227" s="73"/>
      <c r="F227" s="73"/>
      <c r="G227" s="73"/>
      <c r="H227" s="73"/>
    </row>
    <row r="228" spans="1:9" ht="16.5">
      <c r="A228" s="10" t="s">
        <v>44</v>
      </c>
      <c r="B228" s="74" t="e">
        <f>B224*B226</f>
        <v>#REF!</v>
      </c>
      <c r="C228" s="74" t="e">
        <f t="shared" ref="C228:H228" si="44">C224*C226</f>
        <v>#REF!</v>
      </c>
      <c r="D228" s="74" t="e">
        <f t="shared" si="44"/>
        <v>#REF!</v>
      </c>
      <c r="E228" s="74" t="e">
        <f t="shared" si="44"/>
        <v>#REF!</v>
      </c>
      <c r="F228" s="74" t="e">
        <f t="shared" si="44"/>
        <v>#REF!</v>
      </c>
      <c r="G228" s="74" t="e">
        <f t="shared" si="44"/>
        <v>#REF!</v>
      </c>
      <c r="H228" s="74" t="e">
        <f t="shared" si="44"/>
        <v>#REF!</v>
      </c>
    </row>
    <row r="229" spans="1:9">
      <c r="A229" s="72"/>
      <c r="B229" s="88"/>
      <c r="C229" s="88"/>
      <c r="D229" s="88"/>
      <c r="E229" s="88"/>
      <c r="F229" s="88"/>
      <c r="G229" s="88"/>
      <c r="H229" s="88"/>
    </row>
    <row r="230" spans="1:9" ht="16.5">
      <c r="A230" s="11" t="s">
        <v>45</v>
      </c>
      <c r="B230" s="88" t="e">
        <f>SUM(B228:H228)</f>
        <v>#REF!</v>
      </c>
      <c r="C230" s="88"/>
      <c r="D230" s="88"/>
      <c r="E230" s="88"/>
      <c r="F230" s="88"/>
      <c r="G230" s="88"/>
      <c r="H230" s="88"/>
    </row>
    <row r="231" spans="1:9">
      <c r="A231" s="72"/>
      <c r="B231" s="88"/>
      <c r="C231" s="88"/>
      <c r="D231" s="88"/>
      <c r="E231" s="88"/>
      <c r="F231" s="88"/>
      <c r="G231" s="88"/>
      <c r="H231" s="88"/>
    </row>
    <row r="232" spans="1:9" ht="16.5">
      <c r="A232" s="11" t="s">
        <v>46</v>
      </c>
      <c r="B232" s="88" t="e">
        <f>-B176</f>
        <v>#REF!</v>
      </c>
      <c r="C232" s="88"/>
      <c r="D232" s="88"/>
      <c r="E232" s="88"/>
      <c r="F232" s="88"/>
      <c r="G232" s="88"/>
      <c r="H232" s="88"/>
    </row>
    <row r="233" spans="1:9">
      <c r="A233" s="72"/>
      <c r="B233" s="87"/>
      <c r="C233" s="72"/>
      <c r="D233" s="72"/>
      <c r="E233" s="72"/>
      <c r="F233" s="72"/>
      <c r="G233" s="72"/>
      <c r="H233" s="72"/>
    </row>
    <row r="234" spans="1:9" ht="16.5">
      <c r="A234" s="11" t="s">
        <v>47</v>
      </c>
      <c r="B234" s="87" t="e">
        <f>B230-B232</f>
        <v>#REF!</v>
      </c>
      <c r="C234" s="72"/>
      <c r="D234" s="72"/>
      <c r="E234" s="72"/>
      <c r="F234" s="72"/>
      <c r="G234" s="72"/>
      <c r="H234" s="72"/>
    </row>
    <row r="236" spans="1:9">
      <c r="A236" s="439" t="s">
        <v>414</v>
      </c>
      <c r="B236" s="439"/>
      <c r="C236" s="439"/>
      <c r="D236" s="439"/>
      <c r="E236" s="439"/>
      <c r="F236" s="439"/>
      <c r="G236" s="439"/>
      <c r="H236" s="439"/>
      <c r="I236" s="439"/>
    </row>
    <row r="237" spans="1:9" ht="18.75">
      <c r="A237" s="404" t="s">
        <v>552</v>
      </c>
      <c r="B237" s="404"/>
      <c r="C237" s="404"/>
      <c r="D237" s="404"/>
      <c r="E237" s="404"/>
      <c r="F237" s="404"/>
      <c r="G237" s="404"/>
      <c r="H237" s="404"/>
    </row>
    <row r="238" spans="1:9">
      <c r="A238" s="72"/>
      <c r="B238" s="72"/>
      <c r="C238" s="72"/>
      <c r="D238" s="72"/>
      <c r="E238" s="72"/>
      <c r="F238" s="72"/>
      <c r="G238" s="72"/>
      <c r="H238" s="72"/>
    </row>
    <row r="239" spans="1:9" ht="15.75">
      <c r="A239" s="57" t="s">
        <v>0</v>
      </c>
      <c r="B239" s="57" t="s">
        <v>2</v>
      </c>
      <c r="C239" s="57" t="s">
        <v>3</v>
      </c>
      <c r="D239" s="57" t="s">
        <v>4</v>
      </c>
      <c r="E239" s="57" t="s">
        <v>5</v>
      </c>
      <c r="F239" s="57" t="s">
        <v>6</v>
      </c>
      <c r="G239" s="57" t="s">
        <v>168</v>
      </c>
      <c r="H239" s="57" t="s">
        <v>167</v>
      </c>
    </row>
    <row r="240" spans="1:9" ht="15.75">
      <c r="A240" s="54"/>
      <c r="B240" s="55"/>
      <c r="C240" s="55"/>
      <c r="D240" s="55"/>
      <c r="E240" s="55"/>
      <c r="F240" s="55"/>
      <c r="G240" s="55"/>
      <c r="H240" s="55"/>
    </row>
    <row r="241" spans="1:9">
      <c r="A241" s="75" t="s">
        <v>27</v>
      </c>
      <c r="B241" s="74" t="e">
        <f>B51</f>
        <v>#REF!</v>
      </c>
      <c r="C241" s="74" t="e">
        <f t="shared" ref="C241:H241" si="45">C51</f>
        <v>#REF!</v>
      </c>
      <c r="D241" s="74" t="e">
        <f t="shared" si="45"/>
        <v>#REF!</v>
      </c>
      <c r="E241" s="74" t="e">
        <f t="shared" si="45"/>
        <v>#REF!</v>
      </c>
      <c r="F241" s="74" t="e">
        <f t="shared" si="45"/>
        <v>#REF!</v>
      </c>
      <c r="G241" s="74" t="e">
        <f t="shared" si="45"/>
        <v>#REF!</v>
      </c>
      <c r="H241" s="74" t="e">
        <f t="shared" si="45"/>
        <v>#REF!</v>
      </c>
    </row>
    <row r="242" spans="1:9">
      <c r="A242" s="73"/>
      <c r="B242" s="73"/>
      <c r="C242" s="73"/>
      <c r="D242" s="73"/>
      <c r="E242" s="73"/>
      <c r="F242" s="73"/>
      <c r="G242" s="73"/>
      <c r="H242" s="73"/>
    </row>
    <row r="243" spans="1:9">
      <c r="A243" s="75" t="s">
        <v>124</v>
      </c>
      <c r="B243" s="456" t="e">
        <f>AVERAGE(B241:H241)</f>
        <v>#REF!</v>
      </c>
      <c r="C243" s="456"/>
      <c r="D243" s="456"/>
      <c r="E243" s="456"/>
      <c r="F243" s="456"/>
      <c r="G243" s="456"/>
      <c r="H243" s="456"/>
    </row>
    <row r="244" spans="1:9">
      <c r="A244" s="75" t="s">
        <v>125</v>
      </c>
      <c r="B244" s="456" t="e">
        <f>B232</f>
        <v>#REF!</v>
      </c>
      <c r="C244" s="456"/>
      <c r="D244" s="456"/>
      <c r="E244" s="456"/>
      <c r="F244" s="456"/>
      <c r="G244" s="456"/>
      <c r="H244" s="456"/>
    </row>
    <row r="245" spans="1:9">
      <c r="A245" s="73"/>
      <c r="B245" s="73"/>
      <c r="C245" s="73"/>
      <c r="D245" s="73"/>
      <c r="E245" s="73"/>
      <c r="F245" s="73"/>
      <c r="G245" s="73"/>
      <c r="H245" s="73"/>
    </row>
    <row r="246" spans="1:9">
      <c r="A246" s="223" t="s">
        <v>126</v>
      </c>
      <c r="B246" s="457" t="e">
        <f>B243/B244</f>
        <v>#REF!</v>
      </c>
      <c r="C246" s="457"/>
      <c r="D246" s="457"/>
      <c r="E246" s="457"/>
      <c r="F246" s="457"/>
      <c r="G246" s="457"/>
      <c r="H246" s="457"/>
    </row>
    <row r="249" spans="1:9">
      <c r="A249" s="455" t="s">
        <v>415</v>
      </c>
      <c r="B249" s="455"/>
      <c r="C249" s="455"/>
      <c r="D249" s="455"/>
      <c r="E249" s="455"/>
      <c r="F249" s="455"/>
      <c r="G249" s="455"/>
      <c r="H249" s="455"/>
    </row>
    <row r="251" spans="1:9" ht="18.75">
      <c r="A251" s="404" t="s">
        <v>553</v>
      </c>
      <c r="B251" s="404"/>
      <c r="C251" s="404"/>
      <c r="D251" s="404"/>
      <c r="E251" s="404"/>
      <c r="F251" s="404"/>
      <c r="G251" s="404"/>
      <c r="H251" s="404"/>
      <c r="I251" s="404"/>
    </row>
    <row r="253" spans="1:9">
      <c r="A253" s="80" t="s">
        <v>0</v>
      </c>
      <c r="B253" s="80" t="s">
        <v>328</v>
      </c>
      <c r="C253" s="80" t="s">
        <v>2</v>
      </c>
      <c r="D253" s="80" t="s">
        <v>3</v>
      </c>
      <c r="E253" s="80" t="s">
        <v>4</v>
      </c>
      <c r="F253" s="80" t="s">
        <v>5</v>
      </c>
      <c r="G253" s="80" t="s">
        <v>6</v>
      </c>
      <c r="H253" s="80" t="s">
        <v>168</v>
      </c>
      <c r="I253" s="80" t="s">
        <v>167</v>
      </c>
    </row>
    <row r="254" spans="1:9">
      <c r="A254" s="81"/>
      <c r="B254" s="81"/>
      <c r="C254" s="82"/>
      <c r="D254" s="82"/>
      <c r="E254" s="82"/>
      <c r="F254" s="82"/>
      <c r="G254" s="82"/>
      <c r="H254" s="82"/>
      <c r="I254" s="82"/>
    </row>
    <row r="255" spans="1:9">
      <c r="A255" s="9" t="s">
        <v>277</v>
      </c>
      <c r="B255" s="83" t="e">
        <f>B244</f>
        <v>#REF!</v>
      </c>
      <c r="C255" s="82"/>
      <c r="D255" s="82"/>
      <c r="E255" s="82"/>
      <c r="F255" s="82"/>
      <c r="G255" s="82"/>
      <c r="H255" s="82"/>
      <c r="I255" s="82"/>
    </row>
    <row r="256" spans="1:9">
      <c r="A256" s="9" t="str">
        <f>A219</f>
        <v>Profit after Tax &amp; Dividend</v>
      </c>
      <c r="B256" s="9"/>
      <c r="C256" s="20" t="e">
        <f>B51</f>
        <v>#REF!</v>
      </c>
      <c r="D256" s="20" t="e">
        <f t="shared" ref="D256:I256" si="46">C51</f>
        <v>#REF!</v>
      </c>
      <c r="E256" s="20" t="e">
        <f t="shared" si="46"/>
        <v>#REF!</v>
      </c>
      <c r="F256" s="20" t="e">
        <f t="shared" si="46"/>
        <v>#REF!</v>
      </c>
      <c r="G256" s="20" t="e">
        <f t="shared" si="46"/>
        <v>#REF!</v>
      </c>
      <c r="H256" s="20" t="e">
        <f t="shared" si="46"/>
        <v>#REF!</v>
      </c>
      <c r="I256" s="20" t="e">
        <f t="shared" si="46"/>
        <v>#REF!</v>
      </c>
    </row>
    <row r="257" spans="1:9">
      <c r="A257" s="9" t="str">
        <f>A221</f>
        <v>Add: Deprication</v>
      </c>
      <c r="B257" s="9"/>
      <c r="C257" s="71">
        <f>B42</f>
        <v>1252517.731892</v>
      </c>
      <c r="D257" s="71">
        <f t="shared" ref="D257:I258" si="47">C42</f>
        <v>1252517.731892</v>
      </c>
      <c r="E257" s="71">
        <f t="shared" si="47"/>
        <v>1252517.731892</v>
      </c>
      <c r="F257" s="71">
        <f t="shared" si="47"/>
        <v>1252517.731892</v>
      </c>
      <c r="G257" s="71">
        <f t="shared" si="47"/>
        <v>1252517.731892</v>
      </c>
      <c r="H257" s="71">
        <f t="shared" si="47"/>
        <v>1252517.731892</v>
      </c>
      <c r="I257" s="71">
        <f t="shared" si="47"/>
        <v>1252517.731892</v>
      </c>
    </row>
    <row r="258" spans="1:9">
      <c r="A258" s="9" t="str">
        <f>A222</f>
        <v>Add. Preliminary exp Written off</v>
      </c>
      <c r="B258" s="9"/>
      <c r="C258" s="71">
        <f>B43</f>
        <v>27000</v>
      </c>
      <c r="D258" s="71">
        <f t="shared" si="47"/>
        <v>27000</v>
      </c>
      <c r="E258" s="71">
        <f t="shared" si="47"/>
        <v>27000</v>
      </c>
      <c r="F258" s="71">
        <f t="shared" si="47"/>
        <v>27000</v>
      </c>
      <c r="G258" s="71">
        <f t="shared" si="47"/>
        <v>27000</v>
      </c>
      <c r="H258" s="71">
        <f t="shared" si="47"/>
        <v>0</v>
      </c>
      <c r="I258" s="71">
        <f t="shared" si="47"/>
        <v>0</v>
      </c>
    </row>
    <row r="259" spans="1:9">
      <c r="A259" s="9" t="str">
        <f>A224</f>
        <v xml:space="preserve">Net Cash Accrual (A)      </v>
      </c>
      <c r="B259" s="9"/>
      <c r="C259" s="222" t="e">
        <f>SUM(C256:C258)</f>
        <v>#REF!</v>
      </c>
      <c r="D259" s="222" t="e">
        <f t="shared" ref="D259:I259" si="48">SUM(D256:D258)</f>
        <v>#REF!</v>
      </c>
      <c r="E259" s="222" t="e">
        <f t="shared" si="48"/>
        <v>#REF!</v>
      </c>
      <c r="F259" s="222" t="e">
        <f t="shared" si="48"/>
        <v>#REF!</v>
      </c>
      <c r="G259" s="222" t="e">
        <f t="shared" si="48"/>
        <v>#REF!</v>
      </c>
      <c r="H259" s="222" t="e">
        <f t="shared" si="48"/>
        <v>#REF!</v>
      </c>
      <c r="I259" s="222" t="e">
        <f t="shared" si="48"/>
        <v>#REF!</v>
      </c>
    </row>
    <row r="260" spans="1:9">
      <c r="A260" s="9" t="s">
        <v>278</v>
      </c>
      <c r="B260" s="84"/>
      <c r="C260" s="56" t="e">
        <f>C259-B255</f>
        <v>#REF!</v>
      </c>
      <c r="D260" s="56" t="e">
        <f>C260+D259</f>
        <v>#REF!</v>
      </c>
      <c r="E260" s="56" t="e">
        <f>D260+E259</f>
        <v>#REF!</v>
      </c>
      <c r="F260" s="56" t="e">
        <f>E260+F259</f>
        <v>#REF!</v>
      </c>
      <c r="G260" s="56" t="e">
        <f>F260+G259</f>
        <v>#REF!</v>
      </c>
      <c r="H260" s="56" t="e">
        <f t="shared" ref="H260:I260" si="49">G260+H259</f>
        <v>#REF!</v>
      </c>
      <c r="I260" s="56" t="e">
        <f t="shared" si="49"/>
        <v>#REF!</v>
      </c>
    </row>
    <row r="262" spans="1:9">
      <c r="A262" s="5" t="s">
        <v>279</v>
      </c>
      <c r="C262" s="50" t="e">
        <f>4+(-F260/G259)</f>
        <v>#REF!</v>
      </c>
    </row>
    <row r="264" spans="1:9">
      <c r="A264" s="455" t="s">
        <v>416</v>
      </c>
      <c r="B264" s="455"/>
      <c r="C264" s="455"/>
      <c r="D264" s="455"/>
      <c r="E264" s="455"/>
      <c r="F264" s="455"/>
      <c r="G264" s="455"/>
      <c r="H264" s="455"/>
      <c r="I264" s="455"/>
    </row>
    <row r="266" spans="1:9" ht="18.75">
      <c r="A266" s="404" t="s">
        <v>554</v>
      </c>
      <c r="B266" s="404"/>
      <c r="C266" s="404"/>
      <c r="D266" s="404"/>
      <c r="E266" s="404"/>
      <c r="F266" s="404"/>
      <c r="G266" s="404"/>
      <c r="H266" s="404"/>
    </row>
    <row r="268" spans="1:9" ht="15.75">
      <c r="A268" s="57" t="s">
        <v>0</v>
      </c>
      <c r="B268" s="57" t="s">
        <v>2</v>
      </c>
      <c r="C268" s="57" t="s">
        <v>3</v>
      </c>
      <c r="D268" s="57" t="s">
        <v>4</v>
      </c>
      <c r="E268" s="57" t="s">
        <v>5</v>
      </c>
      <c r="F268" s="57" t="s">
        <v>6</v>
      </c>
      <c r="G268" s="57" t="s">
        <v>168</v>
      </c>
      <c r="H268" s="57" t="s">
        <v>167</v>
      </c>
    </row>
    <row r="269" spans="1:9" ht="15.75">
      <c r="A269" s="54"/>
      <c r="B269" s="55"/>
      <c r="C269" s="55"/>
      <c r="D269" s="55"/>
      <c r="E269" s="55"/>
      <c r="F269" s="55"/>
      <c r="G269" s="55"/>
      <c r="H269" s="55"/>
    </row>
    <row r="270" spans="1:9">
      <c r="A270" s="73" t="s">
        <v>331</v>
      </c>
      <c r="B270" s="74">
        <f>B40</f>
        <v>3890469.5511804447</v>
      </c>
      <c r="C270" s="74">
        <f t="shared" ref="C270:H270" si="50">C40</f>
        <v>5970143.0588472858</v>
      </c>
      <c r="D270" s="74">
        <f t="shared" si="50"/>
        <v>7306207.2785984874</v>
      </c>
      <c r="E270" s="74">
        <f t="shared" si="50"/>
        <v>8760952.5626776665</v>
      </c>
      <c r="F270" s="74">
        <f t="shared" si="50"/>
        <v>10342906.856968269</v>
      </c>
      <c r="G270" s="74">
        <f t="shared" si="50"/>
        <v>11969261.926781237</v>
      </c>
      <c r="H270" s="74">
        <f t="shared" si="50"/>
        <v>13732395.236433074</v>
      </c>
    </row>
    <row r="271" spans="1:9">
      <c r="A271" s="73" t="s">
        <v>341</v>
      </c>
      <c r="B271" s="74">
        <f>B42</f>
        <v>1252517.731892</v>
      </c>
      <c r="C271" s="74">
        <f t="shared" ref="C271:H272" si="51">C42</f>
        <v>1252517.731892</v>
      </c>
      <c r="D271" s="74">
        <f t="shared" si="51"/>
        <v>1252517.731892</v>
      </c>
      <c r="E271" s="74">
        <f t="shared" si="51"/>
        <v>1252517.731892</v>
      </c>
      <c r="F271" s="74">
        <f t="shared" si="51"/>
        <v>1252517.731892</v>
      </c>
      <c r="G271" s="74">
        <f t="shared" si="51"/>
        <v>1252517.731892</v>
      </c>
      <c r="H271" s="74">
        <f t="shared" si="51"/>
        <v>1252517.731892</v>
      </c>
    </row>
    <row r="272" spans="1:9">
      <c r="A272" s="73" t="s">
        <v>342</v>
      </c>
      <c r="B272" s="74">
        <f>B43</f>
        <v>27000</v>
      </c>
      <c r="C272" s="74">
        <f t="shared" si="51"/>
        <v>27000</v>
      </c>
      <c r="D272" s="74">
        <f t="shared" si="51"/>
        <v>27000</v>
      </c>
      <c r="E272" s="74">
        <f t="shared" si="51"/>
        <v>27000</v>
      </c>
      <c r="F272" s="74">
        <f t="shared" si="51"/>
        <v>27000</v>
      </c>
      <c r="G272" s="74">
        <f t="shared" si="51"/>
        <v>0</v>
      </c>
      <c r="H272" s="74">
        <f t="shared" si="51"/>
        <v>0</v>
      </c>
    </row>
    <row r="273" spans="1:9">
      <c r="A273" s="73" t="s">
        <v>343</v>
      </c>
      <c r="B273" s="74" t="e">
        <f>SUM(D76:D87)</f>
        <v>#REF!</v>
      </c>
      <c r="C273" s="74" t="e">
        <f>SUM(D88:D99)</f>
        <v>#REF!</v>
      </c>
      <c r="D273" s="74" t="e">
        <f>SUM(D100:D111)</f>
        <v>#REF!</v>
      </c>
      <c r="E273" s="74" t="e">
        <f>SUM(D112:D123)</f>
        <v>#REF!</v>
      </c>
      <c r="F273" s="74" t="e">
        <f>SUM(D124:D135)</f>
        <v>#REF!</v>
      </c>
      <c r="G273" s="74" t="e">
        <f>SUM(D136:D147)</f>
        <v>#REF!</v>
      </c>
      <c r="H273" s="74" t="e">
        <f>SUM(D148:D159)</f>
        <v>#REF!</v>
      </c>
    </row>
    <row r="274" spans="1:9">
      <c r="A274" s="75" t="s">
        <v>1</v>
      </c>
      <c r="B274" s="76" t="e">
        <f>SUM(B270:B273)</f>
        <v>#REF!</v>
      </c>
      <c r="C274" s="76" t="e">
        <f t="shared" ref="C274:H274" si="52">SUM(C270:C273)</f>
        <v>#REF!</v>
      </c>
      <c r="D274" s="76" t="e">
        <f t="shared" si="52"/>
        <v>#REF!</v>
      </c>
      <c r="E274" s="76" t="e">
        <f t="shared" si="52"/>
        <v>#REF!</v>
      </c>
      <c r="F274" s="76" t="e">
        <f t="shared" si="52"/>
        <v>#REF!</v>
      </c>
      <c r="G274" s="76" t="e">
        <f t="shared" si="52"/>
        <v>#REF!</v>
      </c>
      <c r="H274" s="76" t="e">
        <f t="shared" si="52"/>
        <v>#REF!</v>
      </c>
    </row>
    <row r="275" spans="1:9">
      <c r="A275" s="73"/>
      <c r="B275" s="73"/>
      <c r="C275" s="73"/>
      <c r="D275" s="73"/>
      <c r="E275" s="73"/>
      <c r="F275" s="73"/>
      <c r="G275" s="73"/>
      <c r="H275" s="73"/>
    </row>
    <row r="276" spans="1:9">
      <c r="A276" s="73" t="s">
        <v>280</v>
      </c>
      <c r="B276" s="77" t="e">
        <f>SUM(F76:F87)</f>
        <v>#REF!</v>
      </c>
      <c r="C276" s="77" t="e">
        <f>SUM(F88:F99)</f>
        <v>#REF!</v>
      </c>
      <c r="D276" s="77" t="e">
        <f>SUM(F100:F111)</f>
        <v>#REF!</v>
      </c>
      <c r="E276" s="77" t="e">
        <f>SUM(F112:F123)</f>
        <v>#REF!</v>
      </c>
      <c r="F276" s="77" t="e">
        <f>SUM(F124:F135)</f>
        <v>#REF!</v>
      </c>
      <c r="G276" s="77" t="e">
        <f>SUM(F136:F147)</f>
        <v>#REF!</v>
      </c>
      <c r="H276" s="77" t="e">
        <f>SUM(F148:F159)</f>
        <v>#REF!</v>
      </c>
    </row>
    <row r="277" spans="1:9">
      <c r="A277" s="73"/>
      <c r="B277" s="73"/>
      <c r="C277" s="73"/>
      <c r="D277" s="73"/>
      <c r="E277" s="73"/>
      <c r="F277" s="73"/>
      <c r="G277" s="73"/>
      <c r="H277" s="73"/>
    </row>
    <row r="278" spans="1:9">
      <c r="A278" s="75" t="s">
        <v>329</v>
      </c>
      <c r="B278" s="78" t="e">
        <f>B274/B276</f>
        <v>#REF!</v>
      </c>
      <c r="C278" s="78" t="e">
        <f t="shared" ref="C278:H278" si="53">C274/C276</f>
        <v>#REF!</v>
      </c>
      <c r="D278" s="78" t="e">
        <f t="shared" si="53"/>
        <v>#REF!</v>
      </c>
      <c r="E278" s="78" t="e">
        <f t="shared" si="53"/>
        <v>#REF!</v>
      </c>
      <c r="F278" s="78" t="e">
        <f t="shared" si="53"/>
        <v>#REF!</v>
      </c>
      <c r="G278" s="78" t="e">
        <f t="shared" si="53"/>
        <v>#REF!</v>
      </c>
      <c r="H278" s="78" t="e">
        <f t="shared" si="53"/>
        <v>#REF!</v>
      </c>
    </row>
    <row r="279" spans="1:9">
      <c r="A279" s="72"/>
      <c r="B279" s="72"/>
      <c r="C279" s="72"/>
      <c r="D279" s="72"/>
      <c r="E279" s="72"/>
      <c r="F279" s="72"/>
      <c r="G279" s="72"/>
      <c r="H279" s="72"/>
    </row>
    <row r="280" spans="1:9">
      <c r="A280" s="92" t="s">
        <v>330</v>
      </c>
      <c r="B280" s="327" t="e">
        <f>AVERAGE(B278:H278)</f>
        <v>#REF!</v>
      </c>
      <c r="C280" s="72"/>
      <c r="D280" s="72"/>
      <c r="E280" s="72"/>
      <c r="F280" s="72"/>
      <c r="G280" s="72"/>
      <c r="H280" s="72"/>
    </row>
    <row r="282" spans="1:9">
      <c r="A282" s="439" t="s">
        <v>417</v>
      </c>
      <c r="B282" s="439"/>
      <c r="C282" s="439"/>
      <c r="D282" s="439"/>
      <c r="E282" s="439"/>
      <c r="F282" s="439"/>
      <c r="G282" s="439"/>
      <c r="H282" s="439"/>
      <c r="I282" s="439"/>
    </row>
  </sheetData>
  <mergeCells count="21">
    <mergeCell ref="A236:I236"/>
    <mergeCell ref="A2:H2"/>
    <mergeCell ref="A54:H54"/>
    <mergeCell ref="A66:H66"/>
    <mergeCell ref="A68:G68"/>
    <mergeCell ref="A166:I166"/>
    <mergeCell ref="C181:I181"/>
    <mergeCell ref="C183:I183"/>
    <mergeCell ref="A185:I185"/>
    <mergeCell ref="A187:H187"/>
    <mergeCell ref="A212:I212"/>
    <mergeCell ref="A215:H215"/>
    <mergeCell ref="A264:I264"/>
    <mergeCell ref="A266:H266"/>
    <mergeCell ref="A282:I282"/>
    <mergeCell ref="A237:H237"/>
    <mergeCell ref="B243:H243"/>
    <mergeCell ref="B244:H244"/>
    <mergeCell ref="B246:H246"/>
    <mergeCell ref="A249:H249"/>
    <mergeCell ref="A251:I251"/>
  </mergeCells>
  <hyperlinks>
    <hyperlink ref="A185" r:id="rId1" display="https://www.investopedia.com/terms/d/discountrate.asp" xr:uid="{05D78EB3-4B6E-4C9A-8033-9B2A6AFD6DE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4AF28-52E4-4627-8686-51C817A044D2}">
  <dimension ref="H6:L8"/>
  <sheetViews>
    <sheetView workbookViewId="0">
      <selection activeCell="B11" sqref="B11"/>
    </sheetView>
  </sheetViews>
  <sheetFormatPr defaultRowHeight="15"/>
  <cols>
    <col min="9" max="9" width="10.28515625" bestFit="1" customWidth="1"/>
    <col min="10" max="10" width="10.5703125" bestFit="1" customWidth="1"/>
    <col min="12" max="12" width="10.85546875" bestFit="1" customWidth="1"/>
  </cols>
  <sheetData>
    <row r="6" spans="8:12">
      <c r="H6" t="s">
        <v>707</v>
      </c>
      <c r="I6" t="s">
        <v>708</v>
      </c>
      <c r="J6" t="s">
        <v>709</v>
      </c>
      <c r="K6" t="s">
        <v>1</v>
      </c>
      <c r="L6" t="s">
        <v>346</v>
      </c>
    </row>
    <row r="7" spans="8:12">
      <c r="H7" t="s">
        <v>385</v>
      </c>
      <c r="I7">
        <v>500</v>
      </c>
      <c r="J7">
        <f>5</f>
        <v>5</v>
      </c>
      <c r="K7">
        <f>I7*J7</f>
        <v>2500</v>
      </c>
      <c r="L7">
        <v>30000</v>
      </c>
    </row>
    <row r="8" spans="8:12">
      <c r="H8" t="s">
        <v>387</v>
      </c>
      <c r="I8">
        <v>1500</v>
      </c>
      <c r="J8" t="s">
        <v>710</v>
      </c>
      <c r="K8" t="e">
        <f t="shared" ref="K8" si="0">I8*J8</f>
        <v>#VALUE!</v>
      </c>
      <c r="L8">
        <v>50000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33323-CC9C-4DA4-A799-3A5ADC3610FA}">
  <sheetPr>
    <tabColor rgb="FF7030A0"/>
  </sheetPr>
  <dimension ref="A1:F35"/>
  <sheetViews>
    <sheetView zoomScaleNormal="100" zoomScaleSheetLayoutView="85" workbookViewId="0">
      <selection sqref="A1:D1"/>
    </sheetView>
  </sheetViews>
  <sheetFormatPr defaultColWidth="9.140625" defaultRowHeight="15"/>
  <cols>
    <col min="1" max="1" width="55.7109375" style="330" bestFit="1" customWidth="1"/>
    <col min="2" max="2" width="13.7109375" style="330" bestFit="1" customWidth="1"/>
    <col min="3" max="4" width="11.140625" style="330" bestFit="1" customWidth="1"/>
    <col min="5" max="5" width="10.42578125" style="330" hidden="1" customWidth="1"/>
    <col min="6" max="6" width="10.28515625" style="330" hidden="1" customWidth="1"/>
    <col min="7" max="16384" width="9.140625" style="330"/>
  </cols>
  <sheetData>
    <row r="1" spans="1:6" ht="15" customHeight="1">
      <c r="A1" s="479" t="s">
        <v>711</v>
      </c>
      <c r="B1" s="480"/>
      <c r="C1" s="480"/>
      <c r="D1" s="480"/>
      <c r="E1" s="329"/>
      <c r="F1" s="329"/>
    </row>
    <row r="2" spans="1:6">
      <c r="A2" s="336"/>
      <c r="B2" s="340" t="s">
        <v>385</v>
      </c>
      <c r="C2" s="340" t="s">
        <v>387</v>
      </c>
      <c r="D2" s="340" t="s">
        <v>1</v>
      </c>
      <c r="E2" s="332"/>
      <c r="F2" s="332"/>
    </row>
    <row r="3" spans="1:6">
      <c r="A3" s="336" t="s">
        <v>724</v>
      </c>
      <c r="B3" s="342">
        <v>1</v>
      </c>
      <c r="C3" s="342">
        <v>1</v>
      </c>
      <c r="D3" s="342">
        <f>B3+C3</f>
        <v>2</v>
      </c>
      <c r="E3" s="333"/>
      <c r="F3" s="333"/>
    </row>
    <row r="4" spans="1:6">
      <c r="A4" s="331"/>
      <c r="B4" s="333"/>
      <c r="C4" s="333"/>
      <c r="D4" s="333"/>
      <c r="E4" s="333"/>
      <c r="F4" s="333"/>
    </row>
    <row r="5" spans="1:6">
      <c r="A5" s="336" t="s">
        <v>712</v>
      </c>
      <c r="B5" s="333"/>
      <c r="C5" s="333"/>
      <c r="D5" s="333"/>
      <c r="E5" s="333"/>
      <c r="F5" s="333"/>
    </row>
    <row r="6" spans="1:6">
      <c r="A6" s="331" t="s">
        <v>713</v>
      </c>
      <c r="B6" s="335">
        <v>5</v>
      </c>
      <c r="C6" s="335">
        <v>15</v>
      </c>
      <c r="D6" s="333"/>
      <c r="E6" s="333"/>
      <c r="F6" s="333"/>
    </row>
    <row r="7" spans="1:6">
      <c r="A7" s="331" t="s">
        <v>714</v>
      </c>
      <c r="B7" s="333">
        <f>B3*B6</f>
        <v>5</v>
      </c>
      <c r="C7" s="333">
        <f>C3*C6</f>
        <v>15</v>
      </c>
      <c r="D7" s="333">
        <f>D3*D6</f>
        <v>0</v>
      </c>
      <c r="E7" s="333"/>
      <c r="F7" s="333"/>
    </row>
    <row r="8" spans="1:6">
      <c r="A8" s="331" t="s">
        <v>719</v>
      </c>
      <c r="B8" s="333">
        <f>10*1000</f>
        <v>10000</v>
      </c>
      <c r="C8" s="333">
        <f>14*1000</f>
        <v>14000</v>
      </c>
      <c r="D8" s="333">
        <f>C8*(1+[6]Assumptions!$B$17)</f>
        <v>14700</v>
      </c>
      <c r="E8" s="333"/>
      <c r="F8" s="333"/>
    </row>
    <row r="9" spans="1:6">
      <c r="A9" s="331"/>
      <c r="B9" s="334"/>
      <c r="C9" s="334"/>
      <c r="D9" s="334"/>
      <c r="E9" s="333"/>
      <c r="F9" s="333"/>
    </row>
    <row r="10" spans="1:6">
      <c r="A10" s="336" t="s">
        <v>722</v>
      </c>
      <c r="B10" s="341">
        <f>((B7*B8))</f>
        <v>50000</v>
      </c>
      <c r="C10" s="341">
        <f>((C7*C8))</f>
        <v>210000</v>
      </c>
      <c r="D10" s="341">
        <f>SUM(B10:C10)</f>
        <v>260000</v>
      </c>
      <c r="E10" s="333"/>
      <c r="F10" s="333"/>
    </row>
    <row r="11" spans="1:6">
      <c r="A11" s="331"/>
      <c r="B11" s="333"/>
      <c r="C11" s="333"/>
      <c r="D11" s="333"/>
      <c r="E11" s="333"/>
      <c r="F11" s="333"/>
    </row>
    <row r="12" spans="1:6">
      <c r="A12" s="336" t="s">
        <v>346</v>
      </c>
      <c r="B12" s="333"/>
      <c r="C12" s="333"/>
      <c r="D12" s="333"/>
      <c r="E12" s="333"/>
      <c r="F12" s="333"/>
    </row>
    <row r="13" spans="1:6">
      <c r="A13" s="331" t="s">
        <v>715</v>
      </c>
      <c r="B13" s="333">
        <v>30000</v>
      </c>
      <c r="C13" s="333">
        <v>50000</v>
      </c>
      <c r="D13" s="333"/>
      <c r="E13" s="333"/>
      <c r="F13" s="333"/>
    </row>
    <row r="14" spans="1:6">
      <c r="A14" s="331" t="s">
        <v>717</v>
      </c>
      <c r="B14" s="333">
        <f>((B7*1000)/50)*20</f>
        <v>2000</v>
      </c>
      <c r="C14" s="333">
        <f>((C7*1000)/50)*20</f>
        <v>6000</v>
      </c>
      <c r="D14" s="333"/>
      <c r="E14" s="333"/>
      <c r="F14" s="333"/>
    </row>
    <row r="15" spans="1:6">
      <c r="A15" s="331" t="s">
        <v>291</v>
      </c>
      <c r="B15" s="333">
        <f>(B7*3000)</f>
        <v>15000</v>
      </c>
      <c r="C15" s="333">
        <f>(C7*3000)</f>
        <v>45000</v>
      </c>
      <c r="D15" s="333"/>
      <c r="E15" s="333"/>
      <c r="F15" s="333"/>
    </row>
    <row r="16" spans="1:6">
      <c r="A16" s="331" t="s">
        <v>716</v>
      </c>
      <c r="B16" s="333">
        <f>SUM(B13:B15)</f>
        <v>47000</v>
      </c>
      <c r="C16" s="333">
        <f>SUM(C13:C15)</f>
        <v>101000</v>
      </c>
      <c r="D16" s="333"/>
      <c r="E16" s="333"/>
      <c r="F16" s="333"/>
    </row>
    <row r="17" spans="1:6">
      <c r="A17" s="331"/>
      <c r="B17" s="333"/>
      <c r="C17" s="333"/>
      <c r="D17" s="333"/>
      <c r="E17" s="333"/>
      <c r="F17" s="333"/>
    </row>
    <row r="18" spans="1:6">
      <c r="A18" s="336" t="s">
        <v>718</v>
      </c>
      <c r="B18" s="342">
        <f>B10-B16</f>
        <v>3000</v>
      </c>
      <c r="C18" s="342">
        <f>C10-C16</f>
        <v>109000</v>
      </c>
      <c r="D18" s="340">
        <f>SUM(B18:C18)</f>
        <v>112000</v>
      </c>
      <c r="E18" s="333"/>
      <c r="F18" s="333"/>
    </row>
    <row r="19" spans="1:6">
      <c r="A19" s="331"/>
      <c r="B19" s="333"/>
      <c r="C19" s="333"/>
      <c r="D19" s="333"/>
      <c r="E19" s="333"/>
      <c r="F19" s="333"/>
    </row>
    <row r="20" spans="1:6">
      <c r="A20" s="336" t="s">
        <v>721</v>
      </c>
      <c r="B20" s="334"/>
      <c r="C20" s="334"/>
      <c r="D20" s="334"/>
      <c r="E20" s="333"/>
      <c r="F20" s="333"/>
    </row>
    <row r="21" spans="1:6">
      <c r="A21" s="331" t="str">
        <f>A6</f>
        <v>Average current productivity per acre of Maize(in MT)</v>
      </c>
      <c r="B21" s="333">
        <f>B6</f>
        <v>5</v>
      </c>
      <c r="C21" s="333">
        <f>C6</f>
        <v>15</v>
      </c>
      <c r="D21" s="333">
        <f>C21*(1+[6]Assumptions!$B$17)</f>
        <v>15.75</v>
      </c>
      <c r="E21" s="337"/>
      <c r="F21" s="337"/>
    </row>
    <row r="22" spans="1:6">
      <c r="A22" s="331" t="str">
        <f>A7</f>
        <v>Total Production of Maize (in MT)</v>
      </c>
      <c r="B22" s="333">
        <f>B8*1.1</f>
        <v>11000</v>
      </c>
      <c r="C22" s="333">
        <f>C8*1.1</f>
        <v>15400.000000000002</v>
      </c>
      <c r="D22" s="333">
        <f>C22*(1+[6]Assumptions!$B$17)</f>
        <v>16170.000000000002</v>
      </c>
      <c r="E22" s="337"/>
      <c r="F22" s="337"/>
    </row>
    <row r="23" spans="1:6">
      <c r="A23" s="331"/>
      <c r="B23" s="334"/>
      <c r="C23" s="334"/>
      <c r="D23" s="334"/>
    </row>
    <row r="24" spans="1:6">
      <c r="A24" s="336" t="s">
        <v>722</v>
      </c>
      <c r="B24" s="340">
        <f>B21*B22</f>
        <v>55000</v>
      </c>
      <c r="C24" s="340">
        <f>C21*C22</f>
        <v>231000.00000000003</v>
      </c>
      <c r="D24" s="340">
        <f>SUM(B24:C24)</f>
        <v>286000</v>
      </c>
    </row>
    <row r="25" spans="1:6">
      <c r="A25" s="331"/>
      <c r="B25" s="338">
        <f>+ROUND(B23-B9,2)</f>
        <v>0</v>
      </c>
      <c r="C25" s="338">
        <f>+ROUND(C23-C9,2)</f>
        <v>0</v>
      </c>
      <c r="D25" s="338">
        <f>+ROUND(D23-D9,2)</f>
        <v>0</v>
      </c>
    </row>
    <row r="26" spans="1:6">
      <c r="A26" s="336" t="s">
        <v>346</v>
      </c>
      <c r="B26" s="338"/>
      <c r="C26" s="338"/>
      <c r="D26" s="338"/>
    </row>
    <row r="27" spans="1:6">
      <c r="A27" s="331" t="str">
        <f>A13</f>
        <v>Cultivation to harvesting expenditure per acres</v>
      </c>
      <c r="B27" s="338">
        <f>B13</f>
        <v>30000</v>
      </c>
      <c r="C27" s="338">
        <f>C13</f>
        <v>50000</v>
      </c>
      <c r="D27" s="332">
        <f>SUM(B27:C27)</f>
        <v>80000</v>
      </c>
    </row>
    <row r="28" spans="1:6">
      <c r="A28" s="331" t="str">
        <f>A14</f>
        <v>Packaging</v>
      </c>
      <c r="B28" s="338">
        <v>0</v>
      </c>
      <c r="C28" s="338">
        <v>0</v>
      </c>
      <c r="D28" s="332">
        <f t="shared" ref="D28:D32" si="0">SUM(B28:C28)</f>
        <v>0</v>
      </c>
    </row>
    <row r="29" spans="1:6">
      <c r="A29" s="331" t="str">
        <f>A15</f>
        <v>Transportation Charges</v>
      </c>
      <c r="B29" s="338">
        <v>0</v>
      </c>
      <c r="C29" s="338">
        <v>0</v>
      </c>
      <c r="D29" s="332">
        <f t="shared" si="0"/>
        <v>0</v>
      </c>
    </row>
    <row r="30" spans="1:6">
      <c r="A30" s="331" t="s">
        <v>720</v>
      </c>
      <c r="B30" s="338">
        <f>SUM(B27:B29)</f>
        <v>30000</v>
      </c>
      <c r="C30" s="338">
        <f>SUM(C27:C29)</f>
        <v>50000</v>
      </c>
      <c r="D30" s="332">
        <f t="shared" si="0"/>
        <v>80000</v>
      </c>
    </row>
    <row r="31" spans="1:6">
      <c r="A31" s="331">
        <f>A17</f>
        <v>0</v>
      </c>
      <c r="B31" s="338"/>
      <c r="C31" s="338"/>
      <c r="D31" s="338"/>
    </row>
    <row r="32" spans="1:6">
      <c r="A32" s="336" t="str">
        <f>A18</f>
        <v>Net Revenue to Farmers</v>
      </c>
      <c r="B32" s="343">
        <f>B24-B30</f>
        <v>25000</v>
      </c>
      <c r="C32" s="343">
        <f>C24-C30</f>
        <v>181000.00000000003</v>
      </c>
      <c r="D32" s="340">
        <f t="shared" si="0"/>
        <v>206000.00000000003</v>
      </c>
    </row>
    <row r="33" spans="1:4">
      <c r="A33" s="331"/>
      <c r="B33" s="338"/>
      <c r="C33" s="338"/>
      <c r="D33" s="338"/>
    </row>
    <row r="34" spans="1:4">
      <c r="A34" s="336" t="s">
        <v>723</v>
      </c>
      <c r="B34" s="340">
        <f>B32-B18</f>
        <v>22000</v>
      </c>
      <c r="C34" s="340">
        <f>C32-C18</f>
        <v>72000.000000000029</v>
      </c>
      <c r="D34" s="340">
        <f>SUM(B34:C34)</f>
        <v>94000.000000000029</v>
      </c>
    </row>
    <row r="35" spans="1:4">
      <c r="B35" s="339"/>
      <c r="C35" s="339"/>
      <c r="D35" s="339"/>
    </row>
  </sheetData>
  <mergeCells count="1">
    <mergeCell ref="A1:D1"/>
  </mergeCells>
  <pageMargins left="0.7" right="0.7" top="0.75" bottom="0.75" header="0.3" footer="0.3"/>
  <pageSetup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84"/>
  <sheetViews>
    <sheetView view="pageBreakPreview" zoomScaleSheetLayoutView="100" workbookViewId="0">
      <selection activeCell="C9" sqref="C9"/>
    </sheetView>
  </sheetViews>
  <sheetFormatPr defaultRowHeight="15"/>
  <cols>
    <col min="2" max="2" width="7.5703125" bestFit="1" customWidth="1"/>
    <col min="3" max="3" width="37.42578125" customWidth="1"/>
    <col min="4" max="4" width="11.85546875" customWidth="1"/>
    <col min="5" max="5" width="17" customWidth="1"/>
    <col min="6" max="6" width="14" bestFit="1" customWidth="1"/>
    <col min="7" max="7" width="12" bestFit="1" customWidth="1"/>
    <col min="8" max="8" width="11.5703125" bestFit="1" customWidth="1"/>
    <col min="9" max="9" width="10.42578125" bestFit="1" customWidth="1"/>
    <col min="10" max="10" width="12.5703125" bestFit="1" customWidth="1"/>
  </cols>
  <sheetData>
    <row r="2" spans="1:10" ht="18.75">
      <c r="A2">
        <v>2.1</v>
      </c>
      <c r="B2" s="404" t="s">
        <v>154</v>
      </c>
      <c r="C2" s="404"/>
      <c r="D2" s="404"/>
      <c r="E2" s="404"/>
      <c r="F2" s="404"/>
      <c r="G2" s="404"/>
    </row>
    <row r="4" spans="1:10" ht="28.5">
      <c r="B4" s="179" t="s">
        <v>145</v>
      </c>
      <c r="C4" s="179" t="s">
        <v>128</v>
      </c>
      <c r="D4" s="179" t="s">
        <v>133</v>
      </c>
      <c r="E4" s="179" t="s">
        <v>146</v>
      </c>
      <c r="F4" s="179" t="s">
        <v>147</v>
      </c>
      <c r="G4" s="179" t="s">
        <v>157</v>
      </c>
    </row>
    <row r="5" spans="1:10">
      <c r="B5" s="347">
        <v>1</v>
      </c>
      <c r="C5" s="347" t="s">
        <v>148</v>
      </c>
      <c r="D5" s="347" t="s">
        <v>149</v>
      </c>
      <c r="E5" s="348"/>
      <c r="F5" s="349"/>
      <c r="G5" s="350" t="s">
        <v>726</v>
      </c>
    </row>
    <row r="6" spans="1:10">
      <c r="B6" s="347">
        <v>2</v>
      </c>
      <c r="C6" s="347" t="s">
        <v>748</v>
      </c>
      <c r="D6" s="317" t="s">
        <v>741</v>
      </c>
      <c r="E6" s="351">
        <v>232.32</v>
      </c>
      <c r="F6" s="373">
        <f>G6/E6</f>
        <v>6456.6115702479337</v>
      </c>
      <c r="G6" s="352">
        <v>1500000</v>
      </c>
      <c r="H6" s="52"/>
    </row>
    <row r="7" spans="1:10">
      <c r="B7" s="347">
        <v>3</v>
      </c>
      <c r="C7" s="347" t="s">
        <v>812</v>
      </c>
      <c r="D7" s="317" t="s">
        <v>741</v>
      </c>
      <c r="E7" s="351">
        <v>124</v>
      </c>
      <c r="F7" s="373">
        <f>G7/E7</f>
        <v>7213.7096774193551</v>
      </c>
      <c r="G7" s="352">
        <v>894500</v>
      </c>
      <c r="H7" s="52"/>
    </row>
    <row r="8" spans="1:10">
      <c r="B8" s="347">
        <v>4</v>
      </c>
      <c r="C8" s="347" t="s">
        <v>747</v>
      </c>
      <c r="D8" s="317" t="s">
        <v>741</v>
      </c>
      <c r="E8" s="351">
        <v>527.20000000000005</v>
      </c>
      <c r="F8" s="373">
        <f>G8/E8</f>
        <v>21853.186646433987</v>
      </c>
      <c r="G8" s="353">
        <v>11521000</v>
      </c>
      <c r="I8" s="375">
        <f>E8*1.8</f>
        <v>948.96000000000015</v>
      </c>
      <c r="J8" s="375">
        <f>I8*10632</f>
        <v>10089342.720000001</v>
      </c>
    </row>
    <row r="9" spans="1:10">
      <c r="B9" s="347"/>
      <c r="C9" s="347"/>
      <c r="D9" s="317"/>
      <c r="E9" s="351"/>
      <c r="F9" s="352"/>
      <c r="G9" s="353">
        <f t="shared" ref="G9:G10" si="0">E9*F9</f>
        <v>0</v>
      </c>
    </row>
    <row r="10" spans="1:10">
      <c r="B10" s="347"/>
      <c r="C10" s="347"/>
      <c r="D10" s="317"/>
      <c r="E10" s="351"/>
      <c r="F10" s="352"/>
      <c r="G10" s="353">
        <f t="shared" si="0"/>
        <v>0</v>
      </c>
    </row>
    <row r="11" spans="1:10">
      <c r="B11" s="408" t="s">
        <v>1</v>
      </c>
      <c r="C11" s="408"/>
      <c r="D11" s="408"/>
      <c r="E11" s="408"/>
      <c r="F11" s="408"/>
      <c r="G11" s="193">
        <f>SUM(G6:G10)</f>
        <v>13915500</v>
      </c>
    </row>
    <row r="14" spans="1:10">
      <c r="B14" s="406" t="s">
        <v>399</v>
      </c>
      <c r="C14" s="406"/>
      <c r="D14" s="406"/>
      <c r="E14" s="406"/>
      <c r="F14" s="406"/>
      <c r="G14" s="406"/>
    </row>
    <row r="16" spans="1:10" ht="18.75">
      <c r="A16">
        <v>2.2000000000000002</v>
      </c>
      <c r="B16" s="404" t="s">
        <v>155</v>
      </c>
      <c r="C16" s="404"/>
      <c r="D16" s="404"/>
      <c r="E16" s="404"/>
      <c r="F16" s="404"/>
      <c r="G16" s="404"/>
      <c r="H16" s="404"/>
    </row>
    <row r="17" spans="2:8">
      <c r="B17" s="13"/>
    </row>
    <row r="18" spans="2:8" ht="28.5">
      <c r="B18" s="179" t="s">
        <v>145</v>
      </c>
      <c r="C18" s="179" t="s">
        <v>150</v>
      </c>
      <c r="D18" s="179" t="s">
        <v>160</v>
      </c>
      <c r="E18" s="179" t="s">
        <v>151</v>
      </c>
      <c r="F18" s="179" t="s">
        <v>152</v>
      </c>
      <c r="G18" s="179" t="s">
        <v>157</v>
      </c>
      <c r="H18" s="179" t="s">
        <v>153</v>
      </c>
    </row>
    <row r="19" spans="2:8">
      <c r="B19" s="229"/>
      <c r="C19" s="73"/>
      <c r="D19" s="73"/>
      <c r="E19" s="73"/>
      <c r="F19" s="73"/>
      <c r="G19" s="354"/>
      <c r="H19" s="194"/>
    </row>
    <row r="20" spans="2:8">
      <c r="B20" s="185" t="s">
        <v>172</v>
      </c>
      <c r="C20" s="186" t="s">
        <v>749</v>
      </c>
      <c r="D20" s="186" t="s">
        <v>750</v>
      </c>
      <c r="E20" s="185"/>
      <c r="F20" s="189"/>
      <c r="G20" s="354"/>
      <c r="H20" s="197"/>
    </row>
    <row r="21" spans="2:8">
      <c r="B21" s="185">
        <v>1</v>
      </c>
      <c r="C21" t="s">
        <v>784</v>
      </c>
      <c r="D21" s="186"/>
      <c r="E21" s="185">
        <v>1</v>
      </c>
      <c r="F21" s="189">
        <v>132345</v>
      </c>
      <c r="G21" s="354">
        <f>E21*F21</f>
        <v>132345</v>
      </c>
      <c r="H21" s="197">
        <v>10.5</v>
      </c>
    </row>
    <row r="22" spans="2:8">
      <c r="B22" s="185">
        <v>2</v>
      </c>
      <c r="C22" t="s">
        <v>785</v>
      </c>
      <c r="D22" s="186"/>
      <c r="E22" s="185">
        <v>1</v>
      </c>
      <c r="F22" s="189">
        <v>440576</v>
      </c>
      <c r="G22" s="354">
        <f>E22*F22</f>
        <v>440576</v>
      </c>
      <c r="H22" s="197">
        <v>7.5</v>
      </c>
    </row>
    <row r="23" spans="2:8">
      <c r="B23" s="185">
        <v>3</v>
      </c>
      <c r="C23" t="s">
        <v>786</v>
      </c>
      <c r="D23" s="186"/>
      <c r="E23" s="185">
        <v>1</v>
      </c>
      <c r="F23" s="189">
        <v>120884</v>
      </c>
      <c r="G23" s="354">
        <f t="shared" ref="G23:G34" si="1">E23*F23</f>
        <v>120884</v>
      </c>
      <c r="H23" s="197">
        <v>0.5</v>
      </c>
    </row>
    <row r="24" spans="2:8">
      <c r="B24" s="185">
        <v>4</v>
      </c>
      <c r="C24" t="s">
        <v>787</v>
      </c>
      <c r="D24" s="186"/>
      <c r="E24" s="185">
        <v>1</v>
      </c>
      <c r="F24" s="189">
        <v>515227</v>
      </c>
      <c r="G24" s="354">
        <f t="shared" si="1"/>
        <v>515227</v>
      </c>
      <c r="H24" s="197"/>
    </row>
    <row r="25" spans="2:8" ht="45">
      <c r="B25" s="185">
        <v>5</v>
      </c>
      <c r="C25" s="241" t="s">
        <v>788</v>
      </c>
      <c r="D25" s="186"/>
      <c r="E25" s="185">
        <v>1</v>
      </c>
      <c r="F25" s="189">
        <v>290700</v>
      </c>
      <c r="G25" s="354">
        <f t="shared" si="1"/>
        <v>290700</v>
      </c>
      <c r="H25" s="197"/>
    </row>
    <row r="26" spans="2:8" ht="30">
      <c r="B26" s="185">
        <v>6</v>
      </c>
      <c r="C26" s="241" t="s">
        <v>789</v>
      </c>
      <c r="D26" s="186"/>
      <c r="E26" s="185">
        <v>1</v>
      </c>
      <c r="F26" s="189">
        <v>120400</v>
      </c>
      <c r="G26" s="354">
        <f t="shared" si="1"/>
        <v>120400</v>
      </c>
      <c r="H26" s="197"/>
    </row>
    <row r="27" spans="2:8">
      <c r="B27" s="185">
        <v>7</v>
      </c>
      <c r="C27" t="s">
        <v>790</v>
      </c>
      <c r="D27" s="186"/>
      <c r="E27" s="185">
        <v>1</v>
      </c>
      <c r="F27" s="189">
        <v>460557</v>
      </c>
      <c r="G27" s="354">
        <f t="shared" si="1"/>
        <v>460557</v>
      </c>
      <c r="H27" s="197"/>
    </row>
    <row r="28" spans="2:8" ht="30">
      <c r="B28" s="185">
        <v>8</v>
      </c>
      <c r="C28" s="241" t="s">
        <v>791</v>
      </c>
      <c r="D28" s="186"/>
      <c r="E28" s="185">
        <v>1</v>
      </c>
      <c r="F28" s="189">
        <v>120884</v>
      </c>
      <c r="G28" s="354">
        <f t="shared" si="1"/>
        <v>120884</v>
      </c>
      <c r="H28" s="197"/>
    </row>
    <row r="29" spans="2:8">
      <c r="B29" s="185">
        <v>9</v>
      </c>
      <c r="C29" t="s">
        <v>792</v>
      </c>
      <c r="D29" s="186"/>
      <c r="E29" s="185">
        <v>1</v>
      </c>
      <c r="F29" s="189">
        <v>427000</v>
      </c>
      <c r="G29" s="354">
        <f t="shared" si="1"/>
        <v>427000</v>
      </c>
      <c r="H29" s="197"/>
    </row>
    <row r="30" spans="2:8">
      <c r="B30" s="185">
        <v>10</v>
      </c>
      <c r="C30" t="s">
        <v>793</v>
      </c>
      <c r="D30" s="186"/>
      <c r="E30" s="185">
        <v>1</v>
      </c>
      <c r="F30" s="189">
        <v>18000</v>
      </c>
      <c r="G30" s="354">
        <f t="shared" si="1"/>
        <v>18000</v>
      </c>
      <c r="H30" s="197"/>
    </row>
    <row r="31" spans="2:8">
      <c r="B31" s="185">
        <v>11</v>
      </c>
      <c r="C31" t="s">
        <v>794</v>
      </c>
      <c r="D31" s="186"/>
      <c r="E31" s="185">
        <v>5</v>
      </c>
      <c r="F31" s="189">
        <v>32000</v>
      </c>
      <c r="G31" s="354">
        <f t="shared" si="1"/>
        <v>160000</v>
      </c>
      <c r="H31" s="197"/>
    </row>
    <row r="32" spans="2:8">
      <c r="B32" s="185">
        <v>12</v>
      </c>
      <c r="C32" t="s">
        <v>795</v>
      </c>
      <c r="D32" s="186"/>
      <c r="E32" s="185">
        <v>1</v>
      </c>
      <c r="F32" s="189">
        <v>38000</v>
      </c>
      <c r="G32" s="354">
        <f t="shared" si="1"/>
        <v>38000</v>
      </c>
      <c r="H32" s="197"/>
    </row>
    <row r="33" spans="2:9">
      <c r="B33" s="185">
        <v>13</v>
      </c>
      <c r="C33" t="s">
        <v>796</v>
      </c>
      <c r="D33" s="186"/>
      <c r="E33" s="185">
        <v>1</v>
      </c>
      <c r="F33" s="189">
        <v>135000</v>
      </c>
      <c r="G33" s="354">
        <f t="shared" si="1"/>
        <v>135000</v>
      </c>
      <c r="H33" s="197"/>
    </row>
    <row r="34" spans="2:9">
      <c r="B34" s="185">
        <v>14</v>
      </c>
      <c r="C34" t="s">
        <v>797</v>
      </c>
      <c r="D34" s="186"/>
      <c r="E34" s="185">
        <v>1</v>
      </c>
      <c r="F34" s="189">
        <v>435000</v>
      </c>
      <c r="G34" s="354">
        <f t="shared" si="1"/>
        <v>435000</v>
      </c>
      <c r="H34" s="197"/>
    </row>
    <row r="35" spans="2:9">
      <c r="B35" s="185">
        <v>15</v>
      </c>
      <c r="C35" s="9" t="s">
        <v>728</v>
      </c>
      <c r="D35" s="185"/>
      <c r="E35" s="185"/>
      <c r="F35" s="189"/>
      <c r="G35" s="354">
        <f>SUM(G21:G34)*18%</f>
        <v>614623.14</v>
      </c>
      <c r="H35" s="197"/>
    </row>
    <row r="36" spans="2:9">
      <c r="B36" s="185">
        <v>16</v>
      </c>
      <c r="C36" s="9" t="s">
        <v>798</v>
      </c>
      <c r="D36" s="185"/>
      <c r="E36" s="185"/>
      <c r="F36" s="189"/>
      <c r="G36" s="354">
        <v>55000</v>
      </c>
      <c r="H36" s="197"/>
    </row>
    <row r="37" spans="2:9">
      <c r="B37" s="185">
        <v>17</v>
      </c>
      <c r="C37" s="9" t="s">
        <v>799</v>
      </c>
      <c r="D37" s="185"/>
      <c r="E37" s="185"/>
      <c r="F37" s="189"/>
      <c r="G37" s="354">
        <v>160000</v>
      </c>
      <c r="H37" s="197"/>
    </row>
    <row r="38" spans="2:9">
      <c r="B38" s="185">
        <v>18</v>
      </c>
      <c r="C38" s="9" t="s">
        <v>800</v>
      </c>
      <c r="D38" s="185"/>
      <c r="E38" s="185"/>
      <c r="F38" s="189"/>
      <c r="G38" s="354"/>
      <c r="H38" s="197"/>
    </row>
    <row r="39" spans="2:9" ht="30">
      <c r="B39" s="185">
        <v>19</v>
      </c>
      <c r="C39" s="241" t="s">
        <v>801</v>
      </c>
      <c r="D39" s="185"/>
      <c r="E39" s="185">
        <v>1</v>
      </c>
      <c r="F39" s="189">
        <v>420000</v>
      </c>
      <c r="G39" s="354">
        <f>F39</f>
        <v>420000</v>
      </c>
      <c r="H39" s="197"/>
    </row>
    <row r="40" spans="2:9" ht="30">
      <c r="B40" s="185">
        <v>20</v>
      </c>
      <c r="C40" s="241" t="s">
        <v>802</v>
      </c>
      <c r="D40" s="185"/>
      <c r="E40" s="185">
        <v>1</v>
      </c>
      <c r="F40" s="189">
        <v>150000</v>
      </c>
      <c r="G40" s="354">
        <f t="shared" ref="G40:G44" si="2">F40</f>
        <v>150000</v>
      </c>
      <c r="H40" s="197"/>
    </row>
    <row r="41" spans="2:9">
      <c r="B41" s="185">
        <v>21</v>
      </c>
      <c r="C41" t="s">
        <v>803</v>
      </c>
      <c r="D41" s="185"/>
      <c r="E41" s="185">
        <v>1</v>
      </c>
      <c r="F41" s="189">
        <v>15000</v>
      </c>
      <c r="G41" s="354">
        <f t="shared" si="2"/>
        <v>15000</v>
      </c>
      <c r="H41" s="197"/>
    </row>
    <row r="42" spans="2:9">
      <c r="B42" s="185">
        <v>22</v>
      </c>
      <c r="C42" t="s">
        <v>804</v>
      </c>
      <c r="D42" s="185"/>
      <c r="E42" s="185">
        <v>1</v>
      </c>
      <c r="F42" s="189">
        <v>35000</v>
      </c>
      <c r="G42" s="354">
        <f t="shared" si="2"/>
        <v>35000</v>
      </c>
      <c r="H42" s="197"/>
    </row>
    <row r="43" spans="2:9">
      <c r="B43" s="185">
        <v>23</v>
      </c>
      <c r="C43" t="s">
        <v>805</v>
      </c>
      <c r="D43" s="185"/>
      <c r="E43" s="185">
        <v>1</v>
      </c>
      <c r="F43" s="189">
        <v>110000</v>
      </c>
      <c r="G43" s="354">
        <f t="shared" si="2"/>
        <v>110000</v>
      </c>
      <c r="H43" s="197"/>
    </row>
    <row r="44" spans="2:9">
      <c r="B44" s="185">
        <v>24</v>
      </c>
      <c r="C44" t="s">
        <v>752</v>
      </c>
      <c r="D44" s="185"/>
      <c r="E44" s="185">
        <v>1</v>
      </c>
      <c r="F44" s="189">
        <v>119400</v>
      </c>
      <c r="G44" s="354">
        <f t="shared" si="2"/>
        <v>119400</v>
      </c>
      <c r="H44" s="197"/>
    </row>
    <row r="45" spans="2:9">
      <c r="B45" s="185">
        <v>25</v>
      </c>
      <c r="C45" t="s">
        <v>728</v>
      </c>
      <c r="D45" s="185"/>
      <c r="E45" s="185"/>
      <c r="F45" s="189"/>
      <c r="G45" s="354">
        <f>SUM(G39:G44)*18%</f>
        <v>152892</v>
      </c>
      <c r="H45" s="197"/>
    </row>
    <row r="46" spans="2:9">
      <c r="B46" s="409" t="s">
        <v>170</v>
      </c>
      <c r="C46" s="409"/>
      <c r="D46" s="185"/>
      <c r="E46" s="185"/>
      <c r="F46" s="192"/>
      <c r="G46" s="354">
        <f>SUM(G21:G45)</f>
        <v>5246488.1400000006</v>
      </c>
      <c r="H46" s="354">
        <f>SUM(H21:H35)</f>
        <v>18.5</v>
      </c>
      <c r="I46" s="18">
        <f>G46+G75</f>
        <v>5610599.2400000002</v>
      </c>
    </row>
    <row r="47" spans="2:9">
      <c r="B47" s="185"/>
      <c r="C47" s="186"/>
      <c r="D47" s="229"/>
      <c r="E47" s="229"/>
      <c r="F47" s="354"/>
      <c r="G47" s="354"/>
      <c r="H47" s="194"/>
    </row>
    <row r="48" spans="2:9">
      <c r="B48" s="185" t="s">
        <v>172</v>
      </c>
      <c r="C48" s="355" t="s">
        <v>731</v>
      </c>
      <c r="D48" s="188" t="s">
        <v>767</v>
      </c>
      <c r="E48" s="229"/>
      <c r="F48" s="354"/>
      <c r="G48" s="354"/>
      <c r="H48" s="194"/>
    </row>
    <row r="49" spans="2:8">
      <c r="B49" s="185" t="s">
        <v>233</v>
      </c>
      <c r="C49" s="2" t="s">
        <v>751</v>
      </c>
      <c r="D49" s="229"/>
      <c r="E49" s="229"/>
      <c r="F49" s="354"/>
      <c r="G49" s="354"/>
      <c r="H49" s="194"/>
    </row>
    <row r="50" spans="2:8">
      <c r="B50" s="229">
        <v>1</v>
      </c>
      <c r="C50" s="9" t="s">
        <v>752</v>
      </c>
      <c r="D50" s="229"/>
      <c r="E50" s="229">
        <v>1</v>
      </c>
      <c r="F50" s="354">
        <v>50000</v>
      </c>
      <c r="G50" s="354">
        <f t="shared" ref="G50:G55" si="3">E50*F50</f>
        <v>50000</v>
      </c>
      <c r="H50" s="194">
        <v>1.5</v>
      </c>
    </row>
    <row r="51" spans="2:8">
      <c r="B51" s="229">
        <v>2</v>
      </c>
      <c r="C51" s="9" t="s">
        <v>753</v>
      </c>
      <c r="D51" s="229"/>
      <c r="E51" s="229">
        <v>1</v>
      </c>
      <c r="F51" s="354">
        <v>40000</v>
      </c>
      <c r="G51" s="354">
        <f t="shared" si="3"/>
        <v>40000</v>
      </c>
      <c r="H51" s="194">
        <v>1.5</v>
      </c>
    </row>
    <row r="52" spans="2:8">
      <c r="B52" s="229">
        <v>3</v>
      </c>
      <c r="C52" s="9" t="s">
        <v>754</v>
      </c>
      <c r="D52" s="229"/>
      <c r="E52" s="229">
        <v>1</v>
      </c>
      <c r="F52" s="354">
        <v>22000</v>
      </c>
      <c r="G52" s="354">
        <f t="shared" si="3"/>
        <v>22000</v>
      </c>
      <c r="H52" s="194">
        <v>0.5</v>
      </c>
    </row>
    <row r="53" spans="2:8">
      <c r="B53" s="229">
        <v>4</v>
      </c>
      <c r="C53" s="9" t="s">
        <v>755</v>
      </c>
      <c r="D53" s="229"/>
      <c r="E53" s="229">
        <v>1</v>
      </c>
      <c r="F53" s="354">
        <v>93000</v>
      </c>
      <c r="G53" s="354">
        <f t="shared" si="3"/>
        <v>93000</v>
      </c>
      <c r="H53" s="194">
        <v>1</v>
      </c>
    </row>
    <row r="54" spans="2:8">
      <c r="B54" s="229">
        <v>5</v>
      </c>
      <c r="C54" s="9" t="s">
        <v>756</v>
      </c>
      <c r="D54" s="229"/>
      <c r="E54" s="229">
        <v>1</v>
      </c>
      <c r="F54" s="354">
        <v>60000</v>
      </c>
      <c r="G54" s="354">
        <f t="shared" si="3"/>
        <v>60000</v>
      </c>
      <c r="H54" s="194">
        <v>1</v>
      </c>
    </row>
    <row r="55" spans="2:8">
      <c r="B55" s="229">
        <v>6</v>
      </c>
      <c r="C55" s="9" t="s">
        <v>757</v>
      </c>
      <c r="D55" s="229"/>
      <c r="E55" s="229">
        <v>1</v>
      </c>
      <c r="F55" s="354">
        <v>55000</v>
      </c>
      <c r="G55" s="354">
        <f t="shared" si="3"/>
        <v>55000</v>
      </c>
      <c r="H55" s="194">
        <v>1</v>
      </c>
    </row>
    <row r="56" spans="2:8">
      <c r="B56" s="185" t="s">
        <v>234</v>
      </c>
      <c r="C56" s="2" t="s">
        <v>758</v>
      </c>
      <c r="D56" s="229"/>
      <c r="E56" s="229"/>
      <c r="F56" s="354"/>
      <c r="G56" s="354"/>
      <c r="H56" s="194"/>
    </row>
    <row r="57" spans="2:8">
      <c r="B57" s="229">
        <v>1</v>
      </c>
      <c r="C57" s="9" t="s">
        <v>752</v>
      </c>
      <c r="D57" s="229"/>
      <c r="E57" s="229">
        <v>1</v>
      </c>
      <c r="F57" s="354">
        <v>50000</v>
      </c>
      <c r="G57" s="354">
        <f t="shared" ref="G57:G58" si="4">E57*F57</f>
        <v>50000</v>
      </c>
      <c r="H57" s="194">
        <v>1.5</v>
      </c>
    </row>
    <row r="58" spans="2:8">
      <c r="B58" s="229">
        <v>2</v>
      </c>
      <c r="C58" s="9" t="s">
        <v>759</v>
      </c>
      <c r="D58" s="229"/>
      <c r="E58" s="229">
        <v>1</v>
      </c>
      <c r="F58" s="354">
        <v>41000</v>
      </c>
      <c r="G58" s="354">
        <f t="shared" si="4"/>
        <v>41000</v>
      </c>
      <c r="H58" s="194">
        <v>1</v>
      </c>
    </row>
    <row r="59" spans="2:8">
      <c r="B59" s="229">
        <v>3</v>
      </c>
      <c r="C59" s="9" t="s">
        <v>760</v>
      </c>
      <c r="D59" s="229"/>
      <c r="E59" s="229">
        <v>2</v>
      </c>
      <c r="F59" s="354">
        <v>42000</v>
      </c>
      <c r="G59" s="354">
        <f>F59*E59</f>
        <v>84000</v>
      </c>
      <c r="H59" s="194"/>
    </row>
    <row r="60" spans="2:8">
      <c r="B60" s="185" t="s">
        <v>271</v>
      </c>
      <c r="C60" s="2" t="s">
        <v>761</v>
      </c>
      <c r="D60" s="229"/>
      <c r="E60" s="229"/>
      <c r="F60" s="354"/>
      <c r="G60" s="354"/>
      <c r="H60" s="194"/>
    </row>
    <row r="61" spans="2:8">
      <c r="B61" s="229">
        <v>1</v>
      </c>
      <c r="C61" s="9" t="s">
        <v>752</v>
      </c>
      <c r="D61" s="229"/>
      <c r="E61" s="229">
        <v>1</v>
      </c>
      <c r="F61" s="354">
        <v>50000</v>
      </c>
      <c r="G61" s="354">
        <f>F61</f>
        <v>50000</v>
      </c>
      <c r="H61" s="194">
        <v>1.5</v>
      </c>
    </row>
    <row r="62" spans="2:8">
      <c r="B62" s="229">
        <v>2</v>
      </c>
      <c r="C62" s="9" t="s">
        <v>731</v>
      </c>
      <c r="D62" s="229"/>
      <c r="E62" s="229">
        <v>2</v>
      </c>
      <c r="F62" s="354">
        <v>90000</v>
      </c>
      <c r="G62" s="354">
        <f>F62*E62</f>
        <v>180000</v>
      </c>
      <c r="H62" s="194">
        <v>30</v>
      </c>
    </row>
    <row r="63" spans="2:8">
      <c r="B63" s="229">
        <v>3</v>
      </c>
      <c r="C63" s="9" t="s">
        <v>762</v>
      </c>
      <c r="D63" s="229"/>
      <c r="E63" s="229">
        <v>1</v>
      </c>
      <c r="F63" s="354">
        <v>160000</v>
      </c>
      <c r="G63" s="354">
        <f t="shared" ref="G63:G64" si="5">F63</f>
        <v>160000</v>
      </c>
      <c r="H63" s="194">
        <v>7.5</v>
      </c>
    </row>
    <row r="64" spans="2:8">
      <c r="B64" s="229">
        <v>4</v>
      </c>
      <c r="C64" s="9" t="s">
        <v>763</v>
      </c>
      <c r="D64" s="229"/>
      <c r="E64" s="229">
        <v>1</v>
      </c>
      <c r="F64" s="354">
        <v>165000</v>
      </c>
      <c r="G64" s="354">
        <f t="shared" si="5"/>
        <v>165000</v>
      </c>
      <c r="H64" s="194">
        <v>5</v>
      </c>
    </row>
    <row r="65" spans="2:9">
      <c r="B65" s="185" t="s">
        <v>273</v>
      </c>
      <c r="C65" s="2" t="s">
        <v>764</v>
      </c>
      <c r="D65" s="229"/>
      <c r="E65" s="229"/>
      <c r="F65" s="354"/>
      <c r="G65" s="354"/>
      <c r="H65" s="194"/>
    </row>
    <row r="66" spans="2:9">
      <c r="B66" s="229">
        <v>1</v>
      </c>
      <c r="C66" s="9" t="s">
        <v>765</v>
      </c>
      <c r="D66" s="229"/>
      <c r="E66" s="229">
        <v>1</v>
      </c>
      <c r="F66" s="354">
        <v>40000</v>
      </c>
      <c r="G66" s="354">
        <f>E66*F66</f>
        <v>40000</v>
      </c>
      <c r="H66" s="194"/>
    </row>
    <row r="67" spans="2:9">
      <c r="B67" s="229">
        <v>2</v>
      </c>
      <c r="C67" s="9" t="s">
        <v>766</v>
      </c>
      <c r="D67" s="229"/>
      <c r="E67" s="229">
        <v>1</v>
      </c>
      <c r="F67" s="354">
        <v>85000</v>
      </c>
      <c r="G67" s="354">
        <f>E67*F67</f>
        <v>85000</v>
      </c>
      <c r="H67" s="194"/>
    </row>
    <row r="68" spans="2:9">
      <c r="B68" s="229">
        <v>3</v>
      </c>
      <c r="C68" s="9" t="s">
        <v>728</v>
      </c>
      <c r="D68" s="229"/>
      <c r="E68" s="229"/>
      <c r="F68" s="354"/>
      <c r="G68" s="354">
        <f>SUM(G50:G67)*18%</f>
        <v>211500</v>
      </c>
      <c r="H68" s="194"/>
    </row>
    <row r="69" spans="2:9">
      <c r="B69" s="229"/>
      <c r="C69" s="9"/>
      <c r="D69" s="229"/>
      <c r="E69" s="229"/>
      <c r="F69" s="354"/>
      <c r="G69" s="354"/>
      <c r="H69" s="194"/>
    </row>
    <row r="70" spans="2:9">
      <c r="B70" s="412" t="s">
        <v>170</v>
      </c>
      <c r="C70" s="412"/>
      <c r="D70" s="185"/>
      <c r="E70" s="185"/>
      <c r="F70" s="192"/>
      <c r="G70" s="192">
        <f>SUM(G50:G68)</f>
        <v>1386500</v>
      </c>
      <c r="H70" s="192">
        <f>SUM(H50:H68)</f>
        <v>53</v>
      </c>
    </row>
    <row r="71" spans="2:9">
      <c r="B71" s="229"/>
      <c r="C71" s="188"/>
      <c r="D71" s="229"/>
      <c r="E71" s="185"/>
      <c r="F71" s="354"/>
      <c r="G71" s="192"/>
      <c r="H71" s="194"/>
    </row>
    <row r="72" spans="2:9">
      <c r="B72" s="185" t="s">
        <v>174</v>
      </c>
      <c r="C72" s="186" t="s">
        <v>737</v>
      </c>
      <c r="D72" s="229"/>
      <c r="E72" s="229"/>
      <c r="F72" s="354"/>
      <c r="G72" s="354"/>
      <c r="H72" s="194"/>
    </row>
    <row r="73" spans="2:9">
      <c r="B73" s="229">
        <v>1</v>
      </c>
      <c r="C73" s="188" t="s">
        <v>737</v>
      </c>
      <c r="D73" s="229"/>
      <c r="E73" s="229">
        <v>1</v>
      </c>
      <c r="F73" s="354">
        <v>157639.09999999998</v>
      </c>
      <c r="G73" s="354">
        <f t="shared" ref="G73:G74" si="6">E73*F73</f>
        <v>157639.09999999998</v>
      </c>
      <c r="H73" s="194"/>
      <c r="I73" s="18">
        <f>G73-G74</f>
        <v>-48832.900000000023</v>
      </c>
    </row>
    <row r="74" spans="2:9">
      <c r="B74" s="229">
        <v>2</v>
      </c>
      <c r="C74" s="9" t="s">
        <v>806</v>
      </c>
      <c r="D74" s="188"/>
      <c r="E74" s="229">
        <v>1</v>
      </c>
      <c r="F74" s="354">
        <v>206472</v>
      </c>
      <c r="G74" s="354">
        <f t="shared" si="6"/>
        <v>206472</v>
      </c>
      <c r="H74" s="194"/>
    </row>
    <row r="75" spans="2:9">
      <c r="B75" s="410" t="s">
        <v>170</v>
      </c>
      <c r="C75" s="411"/>
      <c r="D75" s="188"/>
      <c r="E75" s="229"/>
      <c r="F75" s="354"/>
      <c r="G75" s="192">
        <f>SUM(G73:G74)</f>
        <v>364111.1</v>
      </c>
      <c r="H75" s="198">
        <v>10</v>
      </c>
    </row>
    <row r="76" spans="2:9">
      <c r="B76" s="185"/>
      <c r="C76" s="185"/>
      <c r="D76" s="188"/>
      <c r="E76" s="229"/>
      <c r="F76" s="354"/>
      <c r="G76" s="354"/>
      <c r="H76" s="195"/>
    </row>
    <row r="77" spans="2:9">
      <c r="B77" s="185" t="s">
        <v>175</v>
      </c>
      <c r="C77" s="2" t="s">
        <v>807</v>
      </c>
      <c r="D77" s="188"/>
      <c r="E77" s="229"/>
      <c r="F77" s="354"/>
      <c r="G77" s="354"/>
      <c r="H77" s="194"/>
    </row>
    <row r="78" spans="2:9">
      <c r="B78" s="229">
        <v>1</v>
      </c>
      <c r="C78" t="s">
        <v>808</v>
      </c>
      <c r="D78" s="188" t="s">
        <v>809</v>
      </c>
      <c r="E78" s="229">
        <v>100</v>
      </c>
      <c r="F78" s="354">
        <v>50000</v>
      </c>
      <c r="G78" s="354">
        <f>E78*F78</f>
        <v>5000000</v>
      </c>
      <c r="H78" s="194"/>
    </row>
    <row r="79" spans="2:9">
      <c r="B79" s="229">
        <v>2</v>
      </c>
      <c r="C79" t="s">
        <v>810</v>
      </c>
      <c r="D79" s="188"/>
      <c r="E79" s="229"/>
      <c r="F79" s="354"/>
      <c r="G79" s="354">
        <f>G78*12%</f>
        <v>600000</v>
      </c>
      <c r="H79" s="194"/>
    </row>
    <row r="80" spans="2:9">
      <c r="B80" s="410" t="s">
        <v>170</v>
      </c>
      <c r="C80" s="411"/>
      <c r="D80" s="188"/>
      <c r="E80" s="229"/>
      <c r="F80" s="354"/>
      <c r="G80" s="354">
        <f>SUM(G78:G79)</f>
        <v>5600000</v>
      </c>
      <c r="H80" s="194"/>
    </row>
    <row r="81" spans="1:11">
      <c r="B81" s="229"/>
      <c r="D81" s="188"/>
      <c r="E81" s="229"/>
      <c r="F81" s="354"/>
      <c r="G81" s="354"/>
      <c r="H81" s="194"/>
    </row>
    <row r="82" spans="1:11">
      <c r="B82" s="409" t="s">
        <v>1</v>
      </c>
      <c r="C82" s="409"/>
      <c r="D82" s="409"/>
      <c r="E82" s="409"/>
      <c r="F82" s="409"/>
      <c r="G82" s="192">
        <f>G75+G70+G46+G80</f>
        <v>12597099.24</v>
      </c>
      <c r="H82" s="192" t="e">
        <f>#REF!+H20+H75+#REF!</f>
        <v>#REF!</v>
      </c>
    </row>
    <row r="83" spans="1:11">
      <c r="B83" s="13"/>
      <c r="G83" s="15"/>
      <c r="I83" s="18"/>
    </row>
    <row r="84" spans="1:11">
      <c r="B84" s="406" t="s">
        <v>400</v>
      </c>
      <c r="C84" s="406"/>
      <c r="D84" s="406"/>
      <c r="E84" s="406"/>
      <c r="F84" s="406"/>
      <c r="G84" s="406"/>
      <c r="H84" s="406"/>
    </row>
    <row r="85" spans="1:11">
      <c r="B85" s="13"/>
      <c r="G85" s="15"/>
      <c r="I85" s="13"/>
      <c r="J85" s="13"/>
      <c r="K85" s="16"/>
    </row>
    <row r="88" spans="1:11" ht="18.75">
      <c r="A88">
        <v>2.2999999999999998</v>
      </c>
      <c r="B88" s="404" t="s">
        <v>367</v>
      </c>
      <c r="C88" s="404"/>
      <c r="D88" s="404"/>
      <c r="E88" s="404"/>
      <c r="F88" s="404"/>
    </row>
    <row r="90" spans="1:11" ht="30">
      <c r="B90" s="19" t="s">
        <v>145</v>
      </c>
      <c r="C90" s="47" t="s">
        <v>128</v>
      </c>
      <c r="D90" s="47" t="s">
        <v>151</v>
      </c>
      <c r="E90" s="47" t="s">
        <v>152</v>
      </c>
      <c r="F90" s="47" t="s">
        <v>157</v>
      </c>
    </row>
    <row r="91" spans="1:11">
      <c r="B91" s="201"/>
      <c r="C91" s="220"/>
      <c r="D91" s="201"/>
      <c r="E91" s="202"/>
      <c r="F91" s="203"/>
    </row>
    <row r="92" spans="1:11">
      <c r="B92" s="201"/>
      <c r="C92" s="220"/>
      <c r="D92" s="201"/>
      <c r="E92" s="202"/>
      <c r="F92" s="203"/>
    </row>
    <row r="93" spans="1:11">
      <c r="B93" s="201"/>
      <c r="C93" s="220"/>
      <c r="D93" s="201"/>
      <c r="E93" s="202"/>
      <c r="F93" s="203"/>
    </row>
    <row r="94" spans="1:11">
      <c r="B94" s="201"/>
      <c r="C94" s="220"/>
      <c r="D94" s="201"/>
      <c r="E94" s="202"/>
      <c r="F94" s="203"/>
    </row>
    <row r="95" spans="1:11">
      <c r="B95" s="201"/>
      <c r="C95" s="220"/>
      <c r="D95" s="201"/>
      <c r="E95" s="202"/>
      <c r="F95" s="203"/>
    </row>
    <row r="96" spans="1:11">
      <c r="B96" s="201"/>
      <c r="C96" s="220"/>
      <c r="D96" s="201"/>
      <c r="E96" s="202"/>
      <c r="F96" s="203"/>
    </row>
    <row r="97" spans="1:7">
      <c r="B97" s="201"/>
      <c r="C97" s="220"/>
      <c r="D97" s="201"/>
      <c r="E97" s="202"/>
      <c r="F97" s="203"/>
    </row>
    <row r="98" spans="1:7">
      <c r="B98" s="201"/>
      <c r="C98" s="220"/>
      <c r="D98" s="201"/>
      <c r="E98" s="202"/>
      <c r="F98" s="203"/>
    </row>
    <row r="99" spans="1:7">
      <c r="B99" s="201"/>
      <c r="C99" s="220"/>
      <c r="D99" s="201"/>
      <c r="E99" s="202"/>
      <c r="F99" s="203"/>
    </row>
    <row r="100" spans="1:7">
      <c r="B100" s="201"/>
      <c r="C100" s="220"/>
      <c r="D100" s="201"/>
      <c r="E100" s="202"/>
      <c r="F100" s="203"/>
    </row>
    <row r="101" spans="1:7">
      <c r="B101" s="201"/>
      <c r="C101" s="220"/>
      <c r="D101" s="201"/>
      <c r="E101" s="202"/>
      <c r="F101" s="203"/>
    </row>
    <row r="102" spans="1:7">
      <c r="B102" s="201"/>
      <c r="C102" s="220"/>
      <c r="D102" s="201"/>
      <c r="E102" s="202"/>
      <c r="F102" s="203"/>
    </row>
    <row r="103" spans="1:7">
      <c r="B103" s="201"/>
      <c r="C103" s="220"/>
      <c r="D103" s="201"/>
      <c r="E103" s="202"/>
      <c r="F103" s="203"/>
    </row>
    <row r="104" spans="1:7">
      <c r="B104" s="201"/>
      <c r="C104" s="220"/>
      <c r="D104" s="201"/>
      <c r="E104" s="202"/>
      <c r="F104" s="203"/>
    </row>
    <row r="105" spans="1:7">
      <c r="B105" s="201"/>
      <c r="C105" s="220"/>
      <c r="D105" s="201"/>
      <c r="E105" s="202"/>
      <c r="F105" s="203"/>
    </row>
    <row r="106" spans="1:7">
      <c r="B106" s="201"/>
      <c r="C106" s="220"/>
      <c r="D106" s="201"/>
      <c r="E106" s="202"/>
      <c r="F106" s="203"/>
    </row>
    <row r="107" spans="1:7">
      <c r="B107" s="201"/>
      <c r="C107" s="220"/>
      <c r="D107" s="201"/>
      <c r="E107" s="374"/>
      <c r="F107" s="203"/>
    </row>
    <row r="108" spans="1:7">
      <c r="B108" s="201"/>
      <c r="C108" s="220"/>
      <c r="D108" s="201"/>
      <c r="E108" s="374"/>
      <c r="F108" s="203"/>
    </row>
    <row r="109" spans="1:7">
      <c r="B109" s="419" t="s">
        <v>1</v>
      </c>
      <c r="C109" s="419"/>
      <c r="D109" s="419"/>
      <c r="E109" s="419"/>
      <c r="F109" s="17">
        <f>SUM(F91:F108)</f>
        <v>0</v>
      </c>
    </row>
    <row r="111" spans="1:7">
      <c r="A111" s="406" t="s">
        <v>401</v>
      </c>
      <c r="B111" s="406"/>
      <c r="C111" s="406"/>
      <c r="D111" s="406"/>
      <c r="E111" s="406"/>
      <c r="F111" s="406"/>
      <c r="G111" s="406"/>
    </row>
    <row r="114" spans="1:6" ht="18.75">
      <c r="A114">
        <v>2.4</v>
      </c>
      <c r="B114" s="404" t="s">
        <v>366</v>
      </c>
      <c r="C114" s="404"/>
      <c r="D114" s="404"/>
      <c r="E114" s="404"/>
      <c r="F114" s="404"/>
    </row>
    <row r="116" spans="1:6" ht="30">
      <c r="B116" s="19" t="s">
        <v>145</v>
      </c>
      <c r="C116" s="47" t="s">
        <v>128</v>
      </c>
      <c r="D116" s="47" t="s">
        <v>151</v>
      </c>
      <c r="E116" s="47" t="s">
        <v>152</v>
      </c>
      <c r="F116" s="47" t="s">
        <v>157</v>
      </c>
    </row>
    <row r="117" spans="1:6">
      <c r="B117" s="201"/>
      <c r="C117" s="220" t="s">
        <v>813</v>
      </c>
      <c r="D117" s="201">
        <v>1</v>
      </c>
      <c r="E117" s="202">
        <v>140000</v>
      </c>
      <c r="F117" s="203">
        <f>E117</f>
        <v>140000</v>
      </c>
    </row>
    <row r="118" spans="1:6">
      <c r="B118" s="201"/>
      <c r="C118" s="220"/>
      <c r="D118" s="201"/>
      <c r="E118" s="202"/>
      <c r="F118" s="203"/>
    </row>
    <row r="119" spans="1:6">
      <c r="B119" s="201"/>
      <c r="C119" s="220"/>
      <c r="D119" s="201"/>
      <c r="E119" s="202"/>
      <c r="F119" s="203"/>
    </row>
    <row r="120" spans="1:6">
      <c r="B120" s="201"/>
      <c r="C120" s="220"/>
      <c r="D120" s="201"/>
      <c r="E120" s="202"/>
      <c r="F120" s="203"/>
    </row>
    <row r="121" spans="1:6">
      <c r="B121" s="201"/>
      <c r="C121" s="220"/>
      <c r="D121" s="201"/>
      <c r="E121" s="202"/>
      <c r="F121" s="203"/>
    </row>
    <row r="122" spans="1:6">
      <c r="B122" s="201">
        <v>6</v>
      </c>
      <c r="C122" s="220"/>
      <c r="D122" s="201"/>
      <c r="E122" s="202"/>
      <c r="F122" s="203"/>
    </row>
    <row r="123" spans="1:6">
      <c r="B123" s="201">
        <v>7</v>
      </c>
      <c r="C123" s="220"/>
      <c r="D123" s="201"/>
      <c r="E123" s="202"/>
      <c r="F123" s="203"/>
    </row>
    <row r="124" spans="1:6">
      <c r="B124" s="201">
        <v>8</v>
      </c>
      <c r="C124" s="220"/>
      <c r="D124" s="201"/>
      <c r="E124" s="202"/>
      <c r="F124" s="203"/>
    </row>
    <row r="125" spans="1:6">
      <c r="B125" s="201">
        <v>9</v>
      </c>
      <c r="C125" s="220"/>
      <c r="D125" s="201"/>
      <c r="E125" s="202"/>
      <c r="F125" s="203"/>
    </row>
    <row r="126" spans="1:6">
      <c r="B126" s="201">
        <v>10</v>
      </c>
      <c r="C126" s="220"/>
      <c r="D126" s="201"/>
      <c r="E126" s="202"/>
      <c r="F126" s="203"/>
    </row>
    <row r="127" spans="1:6">
      <c r="B127" s="201">
        <v>11</v>
      </c>
      <c r="C127" s="220"/>
      <c r="D127" s="201"/>
      <c r="E127" s="202"/>
      <c r="F127" s="203"/>
    </row>
    <row r="128" spans="1:6">
      <c r="B128" s="201">
        <v>12</v>
      </c>
      <c r="C128" s="220"/>
      <c r="D128" s="201"/>
      <c r="E128" s="202"/>
      <c r="F128" s="203"/>
    </row>
    <row r="129" spans="2:6">
      <c r="B129" s="201">
        <v>13</v>
      </c>
      <c r="C129" s="220"/>
      <c r="D129" s="201"/>
      <c r="E129" s="202"/>
      <c r="F129" s="203"/>
    </row>
    <row r="130" spans="2:6">
      <c r="B130" s="201">
        <v>14</v>
      </c>
      <c r="C130" s="220"/>
      <c r="D130" s="201"/>
      <c r="E130" s="202"/>
      <c r="F130" s="203"/>
    </row>
    <row r="131" spans="2:6">
      <c r="B131" s="201">
        <v>15</v>
      </c>
      <c r="C131" s="220"/>
      <c r="D131" s="201"/>
      <c r="E131" s="202"/>
      <c r="F131" s="203"/>
    </row>
    <row r="132" spans="2:6">
      <c r="B132" s="201">
        <v>16</v>
      </c>
      <c r="C132" s="220"/>
      <c r="D132" s="201"/>
      <c r="E132" s="202"/>
      <c r="F132" s="203"/>
    </row>
    <row r="133" spans="2:6">
      <c r="B133" s="201">
        <v>17</v>
      </c>
      <c r="C133" s="220"/>
      <c r="D133" s="201"/>
      <c r="E133" s="202"/>
      <c r="F133" s="203"/>
    </row>
    <row r="134" spans="2:6">
      <c r="B134" s="201">
        <v>18</v>
      </c>
      <c r="C134" s="220"/>
      <c r="D134" s="201"/>
      <c r="E134" s="202"/>
      <c r="F134" s="203"/>
    </row>
    <row r="135" spans="2:6">
      <c r="B135" s="201">
        <v>19</v>
      </c>
      <c r="C135" s="220"/>
      <c r="D135" s="201"/>
      <c r="E135" s="202"/>
      <c r="F135" s="203"/>
    </row>
    <row r="136" spans="2:6" ht="12" customHeight="1">
      <c r="B136" s="201">
        <v>20</v>
      </c>
      <c r="C136" s="220"/>
      <c r="D136" s="201"/>
      <c r="E136" s="202"/>
      <c r="F136" s="203"/>
    </row>
    <row r="137" spans="2:6">
      <c r="B137" s="201">
        <v>21</v>
      </c>
      <c r="C137" s="220"/>
      <c r="D137" s="201"/>
      <c r="E137" s="202"/>
      <c r="F137" s="203"/>
    </row>
    <row r="138" spans="2:6">
      <c r="B138" s="201">
        <v>22</v>
      </c>
      <c r="C138" s="220"/>
      <c r="D138" s="201"/>
      <c r="E138" s="202"/>
      <c r="F138" s="203"/>
    </row>
    <row r="139" spans="2:6">
      <c r="B139" s="201">
        <v>23</v>
      </c>
      <c r="C139" s="220"/>
      <c r="D139" s="201"/>
      <c r="E139" s="202"/>
      <c r="F139" s="203"/>
    </row>
    <row r="140" spans="2:6">
      <c r="B140" s="201">
        <v>24</v>
      </c>
      <c r="C140" s="220"/>
      <c r="D140" s="201"/>
      <c r="E140" s="202"/>
      <c r="F140" s="203"/>
    </row>
    <row r="141" spans="2:6">
      <c r="B141" s="201">
        <v>25</v>
      </c>
      <c r="C141" s="220"/>
      <c r="D141" s="201"/>
      <c r="E141" s="202"/>
      <c r="F141" s="203"/>
    </row>
    <row r="142" spans="2:6">
      <c r="B142" s="201">
        <v>26</v>
      </c>
      <c r="C142" s="220"/>
      <c r="D142" s="201"/>
      <c r="E142" s="202"/>
      <c r="F142" s="203"/>
    </row>
    <row r="143" spans="2:6">
      <c r="B143" s="419" t="s">
        <v>1</v>
      </c>
      <c r="C143" s="419"/>
      <c r="D143" s="419"/>
      <c r="E143" s="419"/>
      <c r="F143" s="17">
        <f>SUM(F117:F142)</f>
        <v>140000</v>
      </c>
    </row>
    <row r="145" spans="1:7">
      <c r="A145" s="406" t="s">
        <v>401</v>
      </c>
      <c r="B145" s="406"/>
      <c r="C145" s="406"/>
      <c r="D145" s="406"/>
      <c r="E145" s="406"/>
      <c r="F145" s="406"/>
      <c r="G145" s="406"/>
    </row>
    <row r="148" spans="1:7" ht="18.75">
      <c r="A148">
        <v>2.5</v>
      </c>
      <c r="B148" s="404" t="s">
        <v>272</v>
      </c>
      <c r="C148" s="404"/>
      <c r="D148" s="404"/>
      <c r="E148" s="404"/>
      <c r="F148" s="404"/>
    </row>
    <row r="150" spans="1:7" ht="28.5">
      <c r="B150" s="178" t="s">
        <v>145</v>
      </c>
      <c r="C150" s="179" t="s">
        <v>128</v>
      </c>
      <c r="D150" s="179" t="s">
        <v>151</v>
      </c>
      <c r="E150" s="179" t="s">
        <v>152</v>
      </c>
      <c r="F150" s="179" t="s">
        <v>157</v>
      </c>
    </row>
    <row r="151" spans="1:7">
      <c r="B151" s="199"/>
      <c r="C151" s="200"/>
      <c r="D151" s="199"/>
      <c r="E151" s="204"/>
      <c r="F151" s="195"/>
    </row>
    <row r="152" spans="1:7">
      <c r="B152" s="199"/>
      <c r="C152" s="200"/>
      <c r="D152" s="199"/>
      <c r="E152" s="204"/>
      <c r="F152" s="195"/>
    </row>
    <row r="153" spans="1:7">
      <c r="B153" s="199"/>
      <c r="C153" s="200"/>
      <c r="D153" s="199"/>
      <c r="E153" s="204"/>
      <c r="F153" s="195"/>
    </row>
    <row r="154" spans="1:7">
      <c r="B154" s="199"/>
      <c r="C154" s="200"/>
      <c r="D154" s="199"/>
      <c r="E154" s="204"/>
      <c r="F154" s="195"/>
    </row>
    <row r="155" spans="1:7">
      <c r="B155" s="199"/>
      <c r="C155" s="200"/>
      <c r="D155" s="199"/>
      <c r="E155" s="204"/>
      <c r="F155" s="195"/>
    </row>
    <row r="156" spans="1:7">
      <c r="B156" s="417"/>
      <c r="C156" s="418"/>
      <c r="D156" s="196"/>
      <c r="E156" s="345"/>
      <c r="F156" s="198"/>
    </row>
    <row r="157" spans="1:7">
      <c r="B157" s="199"/>
      <c r="C157" s="200"/>
      <c r="D157" s="199"/>
      <c r="E157" s="204"/>
      <c r="F157" s="195"/>
    </row>
    <row r="158" spans="1:7">
      <c r="B158" s="199"/>
      <c r="C158" s="200"/>
      <c r="D158" s="199"/>
      <c r="E158" s="204"/>
      <c r="F158" s="195"/>
    </row>
    <row r="159" spans="1:7">
      <c r="B159" s="199"/>
      <c r="C159" s="200"/>
      <c r="D159" s="199"/>
      <c r="E159" s="204"/>
      <c r="F159" s="195"/>
    </row>
    <row r="160" spans="1:7">
      <c r="B160" s="199"/>
      <c r="C160" s="200"/>
      <c r="D160" s="199"/>
      <c r="E160" s="204"/>
      <c r="F160" s="195"/>
    </row>
    <row r="161" spans="1:7">
      <c r="B161" s="199"/>
      <c r="C161" s="200"/>
      <c r="D161" s="199"/>
      <c r="E161" s="204"/>
      <c r="F161" s="195"/>
    </row>
    <row r="162" spans="1:7">
      <c r="B162" s="199"/>
      <c r="C162" s="200"/>
      <c r="D162" s="199"/>
      <c r="E162" s="204"/>
      <c r="F162" s="195"/>
    </row>
    <row r="163" spans="1:7">
      <c r="B163" s="417"/>
      <c r="C163" s="418"/>
      <c r="D163" s="196"/>
      <c r="E163" s="345"/>
      <c r="F163" s="198"/>
    </row>
    <row r="164" spans="1:7">
      <c r="B164" s="199"/>
      <c r="C164" s="200"/>
      <c r="D164" s="199"/>
      <c r="E164" s="204"/>
      <c r="F164" s="195"/>
    </row>
    <row r="165" spans="1:7">
      <c r="B165" s="199"/>
      <c r="C165" s="200"/>
      <c r="D165" s="199"/>
      <c r="E165" s="204"/>
      <c r="F165" s="195"/>
    </row>
    <row r="166" spans="1:7">
      <c r="B166" s="199"/>
      <c r="C166" s="200"/>
      <c r="D166" s="199"/>
      <c r="E166" s="204"/>
      <c r="F166" s="195"/>
    </row>
    <row r="167" spans="1:7">
      <c r="B167" s="199"/>
      <c r="C167" s="200"/>
      <c r="D167" s="199"/>
      <c r="E167" s="204"/>
      <c r="F167" s="195"/>
    </row>
    <row r="168" spans="1:7">
      <c r="B168" s="199"/>
      <c r="C168" s="200"/>
      <c r="D168" s="199"/>
      <c r="E168" s="204"/>
      <c r="F168" s="195"/>
    </row>
    <row r="169" spans="1:7">
      <c r="B169" s="199"/>
      <c r="C169" s="200"/>
      <c r="D169" s="199"/>
      <c r="E169" s="204"/>
      <c r="F169" s="195"/>
    </row>
    <row r="170" spans="1:7">
      <c r="B170" s="199"/>
      <c r="C170" s="200"/>
      <c r="D170" s="199"/>
      <c r="E170" s="204"/>
      <c r="F170" s="195"/>
    </row>
    <row r="171" spans="1:7">
      <c r="B171" s="417" t="s">
        <v>170</v>
      </c>
      <c r="C171" s="418"/>
      <c r="D171" s="196"/>
      <c r="E171" s="345"/>
      <c r="F171" s="198">
        <f>SUM(F164:F170)</f>
        <v>0</v>
      </c>
    </row>
    <row r="172" spans="1:7">
      <c r="B172" s="409" t="s">
        <v>1</v>
      </c>
      <c r="C172" s="409"/>
      <c r="D172" s="409"/>
      <c r="E172" s="409"/>
      <c r="F172" s="181">
        <f>F156+F171+F163</f>
        <v>0</v>
      </c>
    </row>
    <row r="173" spans="1:7">
      <c r="A173" s="416" t="s">
        <v>435</v>
      </c>
      <c r="B173" s="416"/>
      <c r="C173" s="416"/>
      <c r="D173" s="416"/>
      <c r="E173" s="416"/>
      <c r="F173" s="416"/>
      <c r="G173" s="416"/>
    </row>
    <row r="176" spans="1:7" ht="18.75">
      <c r="A176">
        <v>2.6</v>
      </c>
      <c r="B176" s="404" t="s">
        <v>250</v>
      </c>
      <c r="C176" s="404"/>
      <c r="D176" s="404"/>
    </row>
    <row r="177" spans="1:5" ht="15.75" thickBot="1"/>
    <row r="178" spans="1:5" ht="29.25" thickBot="1">
      <c r="B178" s="190" t="s">
        <v>145</v>
      </c>
      <c r="C178" s="191" t="s">
        <v>128</v>
      </c>
      <c r="D178" s="191" t="s">
        <v>365</v>
      </c>
    </row>
    <row r="179" spans="1:5" ht="15.75" thickBot="1">
      <c r="B179" s="356">
        <v>1</v>
      </c>
      <c r="C179" s="357" t="s">
        <v>694</v>
      </c>
      <c r="D179" s="358">
        <v>30000</v>
      </c>
    </row>
    <row r="180" spans="1:5" ht="15.75" thickBot="1">
      <c r="B180" s="356">
        <v>2</v>
      </c>
      <c r="C180" s="357" t="s">
        <v>693</v>
      </c>
      <c r="D180" s="358">
        <v>70000</v>
      </c>
    </row>
    <row r="181" spans="1:5" ht="15.75" thickBot="1">
      <c r="B181" s="356">
        <v>3</v>
      </c>
      <c r="C181" s="357" t="s">
        <v>727</v>
      </c>
      <c r="D181" s="358">
        <v>35000</v>
      </c>
    </row>
    <row r="182" spans="1:5" ht="15.75" thickBot="1">
      <c r="B182" s="413" t="s">
        <v>1</v>
      </c>
      <c r="C182" s="414"/>
      <c r="D182" s="359">
        <f>SUM(D179:D181)</f>
        <v>135000</v>
      </c>
    </row>
    <row r="184" spans="1:5" ht="43.5" customHeight="1">
      <c r="A184" s="415" t="s">
        <v>664</v>
      </c>
      <c r="B184" s="415"/>
      <c r="C184" s="415"/>
      <c r="D184" s="415"/>
      <c r="E184" s="415"/>
    </row>
  </sheetData>
  <mergeCells count="25">
    <mergeCell ref="B109:E109"/>
    <mergeCell ref="B88:F88"/>
    <mergeCell ref="A111:G111"/>
    <mergeCell ref="B143:E143"/>
    <mergeCell ref="B114:F114"/>
    <mergeCell ref="B182:C182"/>
    <mergeCell ref="A184:E184"/>
    <mergeCell ref="A145:G145"/>
    <mergeCell ref="B172:E172"/>
    <mergeCell ref="B148:F148"/>
    <mergeCell ref="A173:G173"/>
    <mergeCell ref="B176:D176"/>
    <mergeCell ref="B171:C171"/>
    <mergeCell ref="B163:C163"/>
    <mergeCell ref="B156:C156"/>
    <mergeCell ref="B11:F11"/>
    <mergeCell ref="B2:G2"/>
    <mergeCell ref="B14:G14"/>
    <mergeCell ref="B84:H84"/>
    <mergeCell ref="B82:F82"/>
    <mergeCell ref="B16:H16"/>
    <mergeCell ref="B46:C46"/>
    <mergeCell ref="B75:C75"/>
    <mergeCell ref="B70:C70"/>
    <mergeCell ref="B80:C80"/>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5"/>
  <sheetViews>
    <sheetView view="pageBreakPreview" zoomScale="115" zoomScaleSheetLayoutView="115" workbookViewId="0">
      <selection activeCell="E38" sqref="E38"/>
    </sheetView>
  </sheetViews>
  <sheetFormatPr defaultRowHeight="15"/>
  <cols>
    <col min="1" max="1" width="25.85546875" bestFit="1" customWidth="1"/>
    <col min="2" max="2" width="9.28515625" customWidth="1"/>
    <col min="3" max="3" width="8.7109375" customWidth="1"/>
    <col min="4" max="4" width="9.5703125" customWidth="1"/>
    <col min="5" max="9" width="11.85546875" bestFit="1" customWidth="1"/>
    <col min="10" max="10" width="14.7109375" bestFit="1" customWidth="1"/>
    <col min="11" max="17" width="11.85546875" bestFit="1" customWidth="1"/>
  </cols>
  <sheetData>
    <row r="2" spans="1:11" ht="18.75">
      <c r="A2" s="404" t="s">
        <v>671</v>
      </c>
      <c r="B2" s="404"/>
      <c r="C2" s="404"/>
      <c r="D2" s="404"/>
      <c r="E2" s="404"/>
      <c r="F2" s="404"/>
      <c r="G2" s="404"/>
      <c r="H2" s="404"/>
      <c r="I2" s="404"/>
      <c r="J2" s="404"/>
      <c r="K2" s="404"/>
    </row>
    <row r="4" spans="1:11">
      <c r="A4" s="72"/>
      <c r="B4" s="72"/>
      <c r="C4" s="72"/>
      <c r="D4" s="72"/>
      <c r="E4" s="154">
        <v>1</v>
      </c>
      <c r="F4" s="152">
        <f>(E4*5%)+E4</f>
        <v>1.05</v>
      </c>
      <c r="G4" s="152">
        <f t="shared" ref="G4:K4" si="0">(F4*5%)+F4</f>
        <v>1.1025</v>
      </c>
      <c r="H4" s="152">
        <f t="shared" si="0"/>
        <v>1.1576250000000001</v>
      </c>
      <c r="I4" s="152">
        <f t="shared" si="0"/>
        <v>1.2155062500000002</v>
      </c>
      <c r="J4" s="152">
        <f t="shared" si="0"/>
        <v>1.2762815625000004</v>
      </c>
      <c r="K4" s="152">
        <f t="shared" si="0"/>
        <v>1.3400956406250004</v>
      </c>
    </row>
    <row r="5" spans="1:11">
      <c r="A5" s="72"/>
      <c r="B5" s="72"/>
      <c r="C5" s="72"/>
      <c r="D5" s="72"/>
      <c r="E5" s="72"/>
      <c r="F5" s="72"/>
      <c r="G5" s="72"/>
      <c r="H5" s="72"/>
      <c r="I5" s="72"/>
      <c r="J5" s="72"/>
      <c r="K5" s="72"/>
    </row>
    <row r="6" spans="1:11">
      <c r="A6" s="124" t="s">
        <v>0</v>
      </c>
      <c r="B6" s="124" t="s">
        <v>133</v>
      </c>
      <c r="C6" s="124" t="s">
        <v>376</v>
      </c>
      <c r="D6" s="124" t="s">
        <v>284</v>
      </c>
      <c r="E6" s="96" t="s">
        <v>2</v>
      </c>
      <c r="F6" s="96" t="s">
        <v>3</v>
      </c>
      <c r="G6" s="96" t="s">
        <v>4</v>
      </c>
      <c r="H6" s="96" t="s">
        <v>5</v>
      </c>
      <c r="I6" s="96" t="s">
        <v>6</v>
      </c>
      <c r="J6" s="96" t="s">
        <v>168</v>
      </c>
      <c r="K6" s="96" t="s">
        <v>167</v>
      </c>
    </row>
    <row r="7" spans="1:11">
      <c r="A7" s="73"/>
      <c r="B7" s="73"/>
      <c r="C7" s="73"/>
      <c r="D7" s="73"/>
      <c r="E7" s="73"/>
      <c r="F7" s="73"/>
      <c r="G7" s="73"/>
      <c r="H7" s="73"/>
      <c r="I7" s="73"/>
      <c r="J7" s="73"/>
      <c r="K7" s="73"/>
    </row>
    <row r="8" spans="1:11">
      <c r="A8" s="73" t="s">
        <v>320</v>
      </c>
      <c r="B8" s="73" t="s">
        <v>377</v>
      </c>
      <c r="C8" s="73">
        <v>1</v>
      </c>
      <c r="D8" s="165">
        <v>30000</v>
      </c>
      <c r="E8" s="74">
        <f>$C8*$D8*12*E$4</f>
        <v>360000</v>
      </c>
      <c r="F8" s="74">
        <f t="shared" ref="F8:K8" si="1">$C8*$D8*12*F$4</f>
        <v>378000</v>
      </c>
      <c r="G8" s="74">
        <f t="shared" si="1"/>
        <v>396900</v>
      </c>
      <c r="H8" s="74">
        <f t="shared" si="1"/>
        <v>416745.00000000006</v>
      </c>
      <c r="I8" s="74">
        <f t="shared" si="1"/>
        <v>437582.25000000006</v>
      </c>
      <c r="J8" s="74">
        <f t="shared" si="1"/>
        <v>459461.3625000001</v>
      </c>
      <c r="K8" s="74">
        <f t="shared" si="1"/>
        <v>482434.43062500015</v>
      </c>
    </row>
    <row r="9" spans="1:11">
      <c r="A9" s="73" t="s">
        <v>185</v>
      </c>
      <c r="B9" s="73" t="s">
        <v>377</v>
      </c>
      <c r="C9" s="73">
        <v>1</v>
      </c>
      <c r="D9" s="165">
        <v>20000</v>
      </c>
      <c r="E9" s="74">
        <f>$C9*$D9*12*E$4</f>
        <v>240000</v>
      </c>
      <c r="F9" s="74">
        <f t="shared" ref="F9:K11" si="2">$C9*$D9*12*F$4</f>
        <v>252000</v>
      </c>
      <c r="G9" s="74">
        <f t="shared" si="2"/>
        <v>264600</v>
      </c>
      <c r="H9" s="74">
        <f t="shared" si="2"/>
        <v>277830.00000000006</v>
      </c>
      <c r="I9" s="74">
        <f t="shared" si="2"/>
        <v>291721.50000000006</v>
      </c>
      <c r="J9" s="74">
        <f t="shared" si="2"/>
        <v>306307.57500000007</v>
      </c>
      <c r="K9" s="74">
        <f t="shared" si="2"/>
        <v>321622.9537500001</v>
      </c>
    </row>
    <row r="10" spans="1:11">
      <c r="A10" s="73" t="s">
        <v>745</v>
      </c>
      <c r="B10" s="73" t="s">
        <v>377</v>
      </c>
      <c r="C10" s="73">
        <v>1</v>
      </c>
      <c r="D10" s="165">
        <v>20000</v>
      </c>
      <c r="E10" s="74">
        <f>$C10*$D10*12*E$4</f>
        <v>240000</v>
      </c>
      <c r="F10" s="74">
        <f t="shared" si="2"/>
        <v>252000</v>
      </c>
      <c r="G10" s="74">
        <f t="shared" si="2"/>
        <v>264600</v>
      </c>
      <c r="H10" s="74">
        <f t="shared" si="2"/>
        <v>277830.00000000006</v>
      </c>
      <c r="I10" s="74">
        <f t="shared" si="2"/>
        <v>291721.50000000006</v>
      </c>
      <c r="J10" s="74">
        <f t="shared" si="2"/>
        <v>306307.57500000007</v>
      </c>
      <c r="K10" s="74">
        <f t="shared" si="2"/>
        <v>321622.9537500001</v>
      </c>
    </row>
    <row r="11" spans="1:11">
      <c r="A11" s="73" t="s">
        <v>190</v>
      </c>
      <c r="B11" s="73" t="s">
        <v>377</v>
      </c>
      <c r="C11" s="73">
        <v>2</v>
      </c>
      <c r="D11" s="165">
        <v>8000</v>
      </c>
      <c r="E11" s="74">
        <f>$C11*$D11*12*E$4</f>
        <v>192000</v>
      </c>
      <c r="F11" s="74">
        <f t="shared" si="2"/>
        <v>201600</v>
      </c>
      <c r="G11" s="74">
        <f t="shared" si="2"/>
        <v>211680</v>
      </c>
      <c r="H11" s="74">
        <f t="shared" si="2"/>
        <v>222264.00000000003</v>
      </c>
      <c r="I11" s="74">
        <f t="shared" si="2"/>
        <v>233377.20000000004</v>
      </c>
      <c r="J11" s="74">
        <f t="shared" si="2"/>
        <v>245046.06000000006</v>
      </c>
      <c r="K11" s="74">
        <f t="shared" si="2"/>
        <v>257298.36300000007</v>
      </c>
    </row>
    <row r="12" spans="1:11">
      <c r="A12" s="73" t="s">
        <v>131</v>
      </c>
      <c r="B12" s="73" t="s">
        <v>378</v>
      </c>
      <c r="C12" s="73">
        <v>12</v>
      </c>
      <c r="D12" s="165">
        <v>5000</v>
      </c>
      <c r="E12" s="74">
        <f>$C12*$D12*E$4</f>
        <v>60000</v>
      </c>
      <c r="F12" s="74">
        <f t="shared" ref="F12:K16" si="3">$C12*$D12*F$4</f>
        <v>63000</v>
      </c>
      <c r="G12" s="74">
        <f t="shared" si="3"/>
        <v>66150</v>
      </c>
      <c r="H12" s="74">
        <f t="shared" si="3"/>
        <v>69457.500000000015</v>
      </c>
      <c r="I12" s="74">
        <f t="shared" si="3"/>
        <v>72930.375000000015</v>
      </c>
      <c r="J12" s="74">
        <f t="shared" si="3"/>
        <v>76576.893750000017</v>
      </c>
      <c r="K12" s="74">
        <f t="shared" si="3"/>
        <v>80405.738437500026</v>
      </c>
    </row>
    <row r="13" spans="1:11">
      <c r="A13" s="73" t="s">
        <v>10</v>
      </c>
      <c r="B13" s="73" t="s">
        <v>378</v>
      </c>
      <c r="C13" s="73">
        <v>12</v>
      </c>
      <c r="D13" s="165">
        <v>5000</v>
      </c>
      <c r="E13" s="74">
        <f t="shared" ref="E13:E16" si="4">$C13*$D13*E$4</f>
        <v>60000</v>
      </c>
      <c r="F13" s="74">
        <f t="shared" si="3"/>
        <v>63000</v>
      </c>
      <c r="G13" s="74">
        <f t="shared" si="3"/>
        <v>66150</v>
      </c>
      <c r="H13" s="74">
        <f t="shared" si="3"/>
        <v>69457.500000000015</v>
      </c>
      <c r="I13" s="74">
        <f t="shared" si="3"/>
        <v>72930.375000000015</v>
      </c>
      <c r="J13" s="74">
        <f t="shared" si="3"/>
        <v>76576.893750000017</v>
      </c>
      <c r="K13" s="74">
        <f t="shared" si="3"/>
        <v>80405.738437500026</v>
      </c>
    </row>
    <row r="14" spans="1:11">
      <c r="A14" s="73" t="s">
        <v>186</v>
      </c>
      <c r="B14" s="73" t="s">
        <v>378</v>
      </c>
      <c r="C14" s="73">
        <v>12</v>
      </c>
      <c r="D14" s="165">
        <v>5000</v>
      </c>
      <c r="E14" s="74">
        <f t="shared" si="4"/>
        <v>60000</v>
      </c>
      <c r="F14" s="74">
        <f t="shared" si="3"/>
        <v>63000</v>
      </c>
      <c r="G14" s="74">
        <f t="shared" si="3"/>
        <v>66150</v>
      </c>
      <c r="H14" s="74">
        <f t="shared" si="3"/>
        <v>69457.500000000015</v>
      </c>
      <c r="I14" s="74">
        <f t="shared" si="3"/>
        <v>72930.375000000015</v>
      </c>
      <c r="J14" s="74">
        <f t="shared" si="3"/>
        <v>76576.893750000017</v>
      </c>
      <c r="K14" s="74">
        <f t="shared" si="3"/>
        <v>80405.738437500026</v>
      </c>
    </row>
    <row r="15" spans="1:11">
      <c r="A15" s="73" t="s">
        <v>159</v>
      </c>
      <c r="B15" s="73" t="s">
        <v>378</v>
      </c>
      <c r="C15" s="73">
        <v>12</v>
      </c>
      <c r="D15" s="165">
        <v>20000</v>
      </c>
      <c r="E15" s="74">
        <f t="shared" si="4"/>
        <v>240000</v>
      </c>
      <c r="F15" s="74">
        <f t="shared" si="3"/>
        <v>252000</v>
      </c>
      <c r="G15" s="74">
        <f t="shared" si="3"/>
        <v>264600</v>
      </c>
      <c r="H15" s="74">
        <f t="shared" si="3"/>
        <v>277830.00000000006</v>
      </c>
      <c r="I15" s="74">
        <f t="shared" si="3"/>
        <v>291721.50000000006</v>
      </c>
      <c r="J15" s="74">
        <f t="shared" si="3"/>
        <v>306307.57500000007</v>
      </c>
      <c r="K15" s="74">
        <f t="shared" si="3"/>
        <v>321622.9537500001</v>
      </c>
    </row>
    <row r="16" spans="1:11">
      <c r="A16" s="73" t="s">
        <v>187</v>
      </c>
      <c r="B16" s="73" t="s">
        <v>378</v>
      </c>
      <c r="C16" s="73">
        <v>12</v>
      </c>
      <c r="D16" s="165">
        <v>5000</v>
      </c>
      <c r="E16" s="74">
        <f t="shared" si="4"/>
        <v>60000</v>
      </c>
      <c r="F16" s="74">
        <f t="shared" si="3"/>
        <v>63000</v>
      </c>
      <c r="G16" s="74">
        <f t="shared" si="3"/>
        <v>66150</v>
      </c>
      <c r="H16" s="74">
        <f t="shared" si="3"/>
        <v>69457.500000000015</v>
      </c>
      <c r="I16" s="74">
        <f t="shared" si="3"/>
        <v>72930.375000000015</v>
      </c>
      <c r="J16" s="74">
        <f t="shared" si="3"/>
        <v>76576.893750000017</v>
      </c>
      <c r="K16" s="74">
        <f t="shared" si="3"/>
        <v>80405.738437500026</v>
      </c>
    </row>
    <row r="17" spans="1:17">
      <c r="A17" s="73" t="s">
        <v>188</v>
      </c>
      <c r="B17" s="73" t="s">
        <v>379</v>
      </c>
      <c r="C17" s="73">
        <v>1</v>
      </c>
      <c r="D17" s="165">
        <v>100000</v>
      </c>
      <c r="E17" s="74">
        <f>$D17*E$4*$C17</f>
        <v>100000</v>
      </c>
      <c r="F17" s="74">
        <f t="shared" ref="F17:K23" si="5">$D17*F$4*$C17</f>
        <v>105000</v>
      </c>
      <c r="G17" s="74">
        <f t="shared" si="5"/>
        <v>110250</v>
      </c>
      <c r="H17" s="74">
        <f t="shared" si="5"/>
        <v>115762.50000000001</v>
      </c>
      <c r="I17" s="74">
        <f t="shared" si="5"/>
        <v>121550.62500000003</v>
      </c>
      <c r="J17" s="74">
        <f t="shared" si="5"/>
        <v>127628.15625000003</v>
      </c>
      <c r="K17" s="74">
        <f t="shared" si="5"/>
        <v>134009.56406250005</v>
      </c>
    </row>
    <row r="18" spans="1:17">
      <c r="A18" s="73"/>
      <c r="B18" s="73"/>
      <c r="C18" s="73"/>
      <c r="D18" s="165"/>
      <c r="E18" s="74">
        <f t="shared" ref="E18:E23" si="6">$D18*E$4*$C18</f>
        <v>0</v>
      </c>
      <c r="F18" s="74">
        <f t="shared" si="5"/>
        <v>0</v>
      </c>
      <c r="G18" s="74">
        <f t="shared" si="5"/>
        <v>0</v>
      </c>
      <c r="H18" s="74">
        <f t="shared" si="5"/>
        <v>0</v>
      </c>
      <c r="I18" s="74">
        <f t="shared" si="5"/>
        <v>0</v>
      </c>
      <c r="J18" s="74">
        <f t="shared" si="5"/>
        <v>0</v>
      </c>
      <c r="K18" s="74">
        <f t="shared" si="5"/>
        <v>0</v>
      </c>
    </row>
    <row r="19" spans="1:17">
      <c r="A19" s="73"/>
      <c r="B19" s="73"/>
      <c r="C19" s="73"/>
      <c r="D19" s="165"/>
      <c r="E19" s="74">
        <f t="shared" si="6"/>
        <v>0</v>
      </c>
      <c r="F19" s="74">
        <f t="shared" si="5"/>
        <v>0</v>
      </c>
      <c r="G19" s="74">
        <f t="shared" si="5"/>
        <v>0</v>
      </c>
      <c r="H19" s="74">
        <f t="shared" si="5"/>
        <v>0</v>
      </c>
      <c r="I19" s="74">
        <f t="shared" si="5"/>
        <v>0</v>
      </c>
      <c r="J19" s="74">
        <f t="shared" si="5"/>
        <v>0</v>
      </c>
      <c r="K19" s="74">
        <f t="shared" si="5"/>
        <v>0</v>
      </c>
    </row>
    <row r="20" spans="1:17">
      <c r="A20" s="73"/>
      <c r="B20" s="73"/>
      <c r="C20" s="73"/>
      <c r="D20" s="165"/>
      <c r="E20" s="74">
        <f t="shared" si="6"/>
        <v>0</v>
      </c>
      <c r="F20" s="74">
        <f t="shared" si="5"/>
        <v>0</v>
      </c>
      <c r="G20" s="74">
        <f t="shared" si="5"/>
        <v>0</v>
      </c>
      <c r="H20" s="74">
        <f t="shared" si="5"/>
        <v>0</v>
      </c>
      <c r="I20" s="74">
        <f t="shared" si="5"/>
        <v>0</v>
      </c>
      <c r="J20" s="74">
        <f t="shared" si="5"/>
        <v>0</v>
      </c>
      <c r="K20" s="74">
        <f t="shared" si="5"/>
        <v>0</v>
      </c>
    </row>
    <row r="21" spans="1:17">
      <c r="A21" s="73"/>
      <c r="B21" s="73"/>
      <c r="C21" s="73"/>
      <c r="D21" s="165"/>
      <c r="E21" s="74">
        <f t="shared" si="6"/>
        <v>0</v>
      </c>
      <c r="F21" s="74">
        <f t="shared" si="5"/>
        <v>0</v>
      </c>
      <c r="G21" s="74">
        <f t="shared" si="5"/>
        <v>0</v>
      </c>
      <c r="H21" s="74">
        <f t="shared" si="5"/>
        <v>0</v>
      </c>
      <c r="I21" s="74">
        <f t="shared" si="5"/>
        <v>0</v>
      </c>
      <c r="J21" s="74">
        <f t="shared" si="5"/>
        <v>0</v>
      </c>
      <c r="K21" s="74">
        <f t="shared" si="5"/>
        <v>0</v>
      </c>
    </row>
    <row r="22" spans="1:17">
      <c r="A22" s="73"/>
      <c r="B22" s="73"/>
      <c r="C22" s="73"/>
      <c r="D22" s="165"/>
      <c r="E22" s="74">
        <f t="shared" si="6"/>
        <v>0</v>
      </c>
      <c r="F22" s="74">
        <f t="shared" si="5"/>
        <v>0</v>
      </c>
      <c r="G22" s="74">
        <f t="shared" si="5"/>
        <v>0</v>
      </c>
      <c r="H22" s="74">
        <f t="shared" si="5"/>
        <v>0</v>
      </c>
      <c r="I22" s="74">
        <f t="shared" si="5"/>
        <v>0</v>
      </c>
      <c r="J22" s="74">
        <f t="shared" si="5"/>
        <v>0</v>
      </c>
      <c r="K22" s="74">
        <f t="shared" si="5"/>
        <v>0</v>
      </c>
    </row>
    <row r="23" spans="1:17">
      <c r="A23" s="73"/>
      <c r="B23" s="73"/>
      <c r="C23" s="73"/>
      <c r="D23" s="165"/>
      <c r="E23" s="74">
        <f t="shared" si="6"/>
        <v>0</v>
      </c>
      <c r="F23" s="74">
        <f t="shared" si="5"/>
        <v>0</v>
      </c>
      <c r="G23" s="74">
        <f t="shared" si="5"/>
        <v>0</v>
      </c>
      <c r="H23" s="74">
        <f t="shared" si="5"/>
        <v>0</v>
      </c>
      <c r="I23" s="74">
        <f t="shared" si="5"/>
        <v>0</v>
      </c>
      <c r="J23" s="74">
        <f t="shared" si="5"/>
        <v>0</v>
      </c>
      <c r="K23" s="74">
        <f t="shared" si="5"/>
        <v>0</v>
      </c>
    </row>
    <row r="24" spans="1:17">
      <c r="A24" s="75" t="s">
        <v>132</v>
      </c>
      <c r="B24" s="75"/>
      <c r="C24" s="75"/>
      <c r="D24" s="360"/>
      <c r="E24" s="91">
        <f t="shared" ref="E24:K24" si="7">SUM(E8:E23)</f>
        <v>1612000</v>
      </c>
      <c r="F24" s="91">
        <f t="shared" si="7"/>
        <v>1692600</v>
      </c>
      <c r="G24" s="91">
        <f t="shared" si="7"/>
        <v>1777230</v>
      </c>
      <c r="H24" s="91">
        <f t="shared" si="7"/>
        <v>1866091.5000000002</v>
      </c>
      <c r="I24" s="91">
        <f t="shared" si="7"/>
        <v>1959396.0750000002</v>
      </c>
      <c r="J24" s="91">
        <f t="shared" si="7"/>
        <v>2057365.8787500004</v>
      </c>
      <c r="K24" s="91">
        <f t="shared" si="7"/>
        <v>2160234.1726875007</v>
      </c>
    </row>
    <row r="26" spans="1:17">
      <c r="A26" s="5" t="s">
        <v>687</v>
      </c>
    </row>
    <row r="29" spans="1:17">
      <c r="A29" s="422"/>
      <c r="B29" s="422"/>
      <c r="C29" s="422"/>
      <c r="D29" s="422"/>
      <c r="E29" s="422"/>
      <c r="F29" s="422"/>
      <c r="G29" s="422"/>
      <c r="H29" s="422"/>
      <c r="I29" s="422"/>
      <c r="J29" s="422"/>
      <c r="K29" s="422"/>
      <c r="L29" s="422"/>
      <c r="M29" s="422"/>
      <c r="N29" s="422"/>
      <c r="O29" s="422"/>
    </row>
    <row r="30" spans="1:17" ht="18.75">
      <c r="A30" s="420" t="s">
        <v>540</v>
      </c>
      <c r="B30" s="420"/>
      <c r="C30" s="420"/>
      <c r="D30" s="420"/>
      <c r="E30" s="420"/>
      <c r="F30" s="420"/>
      <c r="G30" s="420"/>
      <c r="H30" s="420"/>
      <c r="I30" s="420"/>
      <c r="J30" s="420"/>
      <c r="K30" s="420"/>
      <c r="L30" s="420"/>
      <c r="M30" s="420"/>
      <c r="N30" s="420"/>
      <c r="O30" s="420"/>
      <c r="P30" s="420"/>
      <c r="Q30" s="420"/>
    </row>
    <row r="31" spans="1:17">
      <c r="A31" s="125"/>
      <c r="B31" s="125"/>
      <c r="C31" s="125"/>
      <c r="D31" s="125"/>
      <c r="E31" s="125"/>
      <c r="F31" s="125"/>
      <c r="G31" s="125"/>
      <c r="H31" s="125"/>
      <c r="I31" s="125"/>
      <c r="J31" s="125"/>
      <c r="K31" s="125"/>
      <c r="L31" s="125"/>
      <c r="M31" s="125"/>
      <c r="N31" s="125"/>
      <c r="O31" s="125"/>
    </row>
    <row r="32" spans="1:17">
      <c r="A32" s="72"/>
      <c r="B32" s="72"/>
      <c r="C32" s="423" t="s">
        <v>191</v>
      </c>
      <c r="D32" s="423"/>
      <c r="E32" s="423"/>
      <c r="F32" s="423"/>
      <c r="G32" s="423"/>
      <c r="H32" s="423"/>
      <c r="I32" s="423"/>
      <c r="J32" s="72"/>
      <c r="K32" s="424" t="s">
        <v>192</v>
      </c>
      <c r="L32" s="424"/>
      <c r="M32" s="424"/>
      <c r="N32" s="424"/>
      <c r="O32" s="424"/>
      <c r="P32" s="424"/>
      <c r="Q32" s="424"/>
    </row>
    <row r="33" spans="1:17">
      <c r="A33" s="144" t="s">
        <v>0</v>
      </c>
      <c r="B33" s="138"/>
      <c r="C33" s="49" t="s">
        <v>2</v>
      </c>
      <c r="D33" s="49" t="s">
        <v>3</v>
      </c>
      <c r="E33" s="49" t="s">
        <v>4</v>
      </c>
      <c r="F33" s="49" t="s">
        <v>5</v>
      </c>
      <c r="G33" s="49" t="s">
        <v>6</v>
      </c>
      <c r="H33" s="49" t="s">
        <v>168</v>
      </c>
      <c r="I33" s="49" t="s">
        <v>167</v>
      </c>
      <c r="J33" s="145"/>
      <c r="K33" s="49" t="s">
        <v>2</v>
      </c>
      <c r="L33" s="49" t="s">
        <v>3</v>
      </c>
      <c r="M33" s="49" t="s">
        <v>4</v>
      </c>
      <c r="N33" s="49" t="s">
        <v>5</v>
      </c>
      <c r="O33" s="49" t="s">
        <v>6</v>
      </c>
      <c r="P33" s="49" t="s">
        <v>168</v>
      </c>
      <c r="Q33" s="49" t="s">
        <v>167</v>
      </c>
    </row>
    <row r="34" spans="1:17">
      <c r="A34" s="139" t="s">
        <v>193</v>
      </c>
      <c r="B34" s="73"/>
      <c r="C34" s="73"/>
      <c r="D34" s="73"/>
      <c r="E34" s="73"/>
      <c r="F34" s="73"/>
      <c r="G34" s="140"/>
      <c r="H34" s="140"/>
      <c r="I34" s="140"/>
      <c r="J34" s="73"/>
      <c r="K34" s="73"/>
      <c r="L34" s="73"/>
      <c r="M34" s="73"/>
      <c r="N34" s="73"/>
      <c r="O34" s="140"/>
      <c r="P34" s="140"/>
      <c r="Q34" s="140"/>
    </row>
    <row r="35" spans="1:17">
      <c r="A35" s="139"/>
      <c r="B35" s="73"/>
      <c r="C35" s="73"/>
      <c r="D35" s="73"/>
      <c r="E35" s="73"/>
      <c r="F35" s="73"/>
      <c r="G35" s="140"/>
      <c r="H35" s="140"/>
      <c r="I35" s="140"/>
      <c r="J35" s="73"/>
      <c r="K35" s="73"/>
      <c r="L35" s="73"/>
      <c r="M35" s="73"/>
      <c r="N35" s="73"/>
      <c r="O35" s="140"/>
      <c r="P35" s="140"/>
      <c r="Q35" s="140"/>
    </row>
    <row r="36" spans="1:17">
      <c r="A36" s="141"/>
      <c r="B36" s="141"/>
      <c r="C36" s="73"/>
      <c r="D36" s="73"/>
      <c r="E36" s="73"/>
      <c r="F36" s="73"/>
      <c r="G36" s="73"/>
      <c r="H36" s="73"/>
      <c r="I36" s="73"/>
      <c r="J36" s="73"/>
      <c r="K36" s="73"/>
      <c r="L36" s="73"/>
      <c r="M36" s="73"/>
      <c r="N36" s="73"/>
      <c r="O36" s="73"/>
      <c r="P36" s="73"/>
      <c r="Q36" s="73"/>
    </row>
    <row r="37" spans="1:17">
      <c r="A37" s="142" t="s">
        <v>197</v>
      </c>
      <c r="B37" s="142"/>
      <c r="C37" s="73"/>
      <c r="D37" s="73"/>
      <c r="E37" s="73"/>
      <c r="F37" s="73"/>
      <c r="G37" s="73"/>
      <c r="H37" s="73"/>
      <c r="I37" s="73"/>
      <c r="J37" s="73"/>
      <c r="K37" s="73"/>
      <c r="L37" s="73"/>
      <c r="M37" s="73"/>
      <c r="N37" s="73"/>
      <c r="O37" s="73"/>
      <c r="P37" s="73"/>
      <c r="Q37" s="73"/>
    </row>
    <row r="38" spans="1:17">
      <c r="A38" s="141" t="s">
        <v>194</v>
      </c>
      <c r="B38" s="141"/>
      <c r="C38" s="143">
        <f>'1.Project Cost and MOF'!D5</f>
        <v>13915500</v>
      </c>
      <c r="D38" s="143">
        <f t="shared" ref="D38:I38" si="8">C41</f>
        <v>13474378.65</v>
      </c>
      <c r="E38" s="143">
        <f t="shared" si="8"/>
        <v>13033257.300000001</v>
      </c>
      <c r="F38" s="143">
        <f t="shared" si="8"/>
        <v>12592135.950000001</v>
      </c>
      <c r="G38" s="143">
        <f t="shared" si="8"/>
        <v>12151014.600000001</v>
      </c>
      <c r="H38" s="143">
        <f t="shared" si="8"/>
        <v>11709893.250000002</v>
      </c>
      <c r="I38" s="143">
        <f t="shared" si="8"/>
        <v>11268771.900000002</v>
      </c>
      <c r="J38" s="73"/>
      <c r="K38" s="143">
        <f>C38</f>
        <v>13915500</v>
      </c>
      <c r="L38" s="143">
        <f t="shared" ref="L38:Q38" si="9">K41</f>
        <v>12523950</v>
      </c>
      <c r="M38" s="143">
        <f t="shared" si="9"/>
        <v>11271555</v>
      </c>
      <c r="N38" s="143">
        <f t="shared" si="9"/>
        <v>10144399.5</v>
      </c>
      <c r="O38" s="143">
        <f t="shared" si="9"/>
        <v>9129959.5500000007</v>
      </c>
      <c r="P38" s="143">
        <f t="shared" si="9"/>
        <v>8216963.5950000007</v>
      </c>
      <c r="Q38" s="143">
        <f t="shared" si="9"/>
        <v>7395267.2355000004</v>
      </c>
    </row>
    <row r="39" spans="1:17">
      <c r="A39" s="141" t="s">
        <v>17</v>
      </c>
      <c r="B39" s="141"/>
      <c r="C39" s="143">
        <f t="shared" ref="C39:I39" si="10">$C$38*$B$75</f>
        <v>441121.35</v>
      </c>
      <c r="D39" s="143">
        <f t="shared" si="10"/>
        <v>441121.35</v>
      </c>
      <c r="E39" s="143">
        <f t="shared" si="10"/>
        <v>441121.35</v>
      </c>
      <c r="F39" s="143">
        <f t="shared" si="10"/>
        <v>441121.35</v>
      </c>
      <c r="G39" s="143">
        <f t="shared" si="10"/>
        <v>441121.35</v>
      </c>
      <c r="H39" s="143">
        <f t="shared" si="10"/>
        <v>441121.35</v>
      </c>
      <c r="I39" s="143">
        <f t="shared" si="10"/>
        <v>441121.35</v>
      </c>
      <c r="J39" s="73"/>
      <c r="K39" s="143">
        <f t="shared" ref="K39:Q39" si="11">K38*$C$75</f>
        <v>1391550</v>
      </c>
      <c r="L39" s="143">
        <f t="shared" si="11"/>
        <v>1252395</v>
      </c>
      <c r="M39" s="143">
        <f t="shared" si="11"/>
        <v>1127155.5</v>
      </c>
      <c r="N39" s="143">
        <f t="shared" si="11"/>
        <v>1014439.9500000001</v>
      </c>
      <c r="O39" s="143">
        <f t="shared" si="11"/>
        <v>912995.95500000007</v>
      </c>
      <c r="P39" s="143">
        <f t="shared" si="11"/>
        <v>821696.35950000014</v>
      </c>
      <c r="Q39" s="143">
        <f t="shared" si="11"/>
        <v>739526.72355000011</v>
      </c>
    </row>
    <row r="40" spans="1:17">
      <c r="A40" s="141" t="s">
        <v>195</v>
      </c>
      <c r="B40" s="141"/>
      <c r="C40" s="143">
        <f>C39</f>
        <v>441121.35</v>
      </c>
      <c r="D40" s="143">
        <f t="shared" ref="D40:I40" si="12">C40+D39</f>
        <v>882242.7</v>
      </c>
      <c r="E40" s="143">
        <f t="shared" si="12"/>
        <v>1323364.0499999998</v>
      </c>
      <c r="F40" s="143">
        <f t="shared" si="12"/>
        <v>1764485.4</v>
      </c>
      <c r="G40" s="143">
        <f t="shared" si="12"/>
        <v>2205606.75</v>
      </c>
      <c r="H40" s="143">
        <f t="shared" si="12"/>
        <v>2646728.1</v>
      </c>
      <c r="I40" s="143">
        <f t="shared" si="12"/>
        <v>3087849.45</v>
      </c>
      <c r="J40" s="73"/>
      <c r="K40" s="143">
        <f>K39</f>
        <v>1391550</v>
      </c>
      <c r="L40" s="143">
        <f t="shared" ref="L40:Q40" si="13">K40+L39</f>
        <v>2643945</v>
      </c>
      <c r="M40" s="143">
        <f t="shared" si="13"/>
        <v>3771100.5</v>
      </c>
      <c r="N40" s="143">
        <f t="shared" si="13"/>
        <v>4785540.45</v>
      </c>
      <c r="O40" s="143">
        <f t="shared" si="13"/>
        <v>5698536.4050000003</v>
      </c>
      <c r="P40" s="143">
        <f t="shared" si="13"/>
        <v>6520232.7645000005</v>
      </c>
      <c r="Q40" s="143">
        <f t="shared" si="13"/>
        <v>7259759.4880500007</v>
      </c>
    </row>
    <row r="41" spans="1:17">
      <c r="A41" s="141" t="s">
        <v>196</v>
      </c>
      <c r="B41" s="141"/>
      <c r="C41" s="143">
        <f t="shared" ref="C41:I41" si="14">C38-C39</f>
        <v>13474378.65</v>
      </c>
      <c r="D41" s="143">
        <f t="shared" si="14"/>
        <v>13033257.300000001</v>
      </c>
      <c r="E41" s="143">
        <f t="shared" si="14"/>
        <v>12592135.950000001</v>
      </c>
      <c r="F41" s="143">
        <f t="shared" si="14"/>
        <v>12151014.600000001</v>
      </c>
      <c r="G41" s="143">
        <f t="shared" si="14"/>
        <v>11709893.250000002</v>
      </c>
      <c r="H41" s="143">
        <f t="shared" si="14"/>
        <v>11268771.900000002</v>
      </c>
      <c r="I41" s="143">
        <f t="shared" si="14"/>
        <v>10827650.550000003</v>
      </c>
      <c r="J41" s="73"/>
      <c r="K41" s="143">
        <f t="shared" ref="K41:Q41" si="15">K38-K39</f>
        <v>12523950</v>
      </c>
      <c r="L41" s="143">
        <f t="shared" si="15"/>
        <v>11271555</v>
      </c>
      <c r="M41" s="143">
        <f t="shared" si="15"/>
        <v>10144399.5</v>
      </c>
      <c r="N41" s="143">
        <f t="shared" si="15"/>
        <v>9129959.5500000007</v>
      </c>
      <c r="O41" s="143">
        <f t="shared" si="15"/>
        <v>8216963.5950000007</v>
      </c>
      <c r="P41" s="143">
        <f t="shared" si="15"/>
        <v>7395267.2355000004</v>
      </c>
      <c r="Q41" s="143">
        <f t="shared" si="15"/>
        <v>6655740.5119500002</v>
      </c>
    </row>
    <row r="42" spans="1:17">
      <c r="A42" s="141"/>
      <c r="B42" s="141"/>
      <c r="C42" s="143"/>
      <c r="D42" s="143"/>
      <c r="E42" s="143"/>
      <c r="F42" s="143"/>
      <c r="G42" s="143"/>
      <c r="H42" s="143"/>
      <c r="I42" s="143"/>
      <c r="J42" s="73"/>
      <c r="K42" s="143"/>
      <c r="L42" s="143"/>
      <c r="M42" s="143"/>
      <c r="N42" s="143"/>
      <c r="O42" s="143"/>
      <c r="P42" s="143"/>
      <c r="Q42" s="143"/>
    </row>
    <row r="43" spans="1:17">
      <c r="A43" s="142" t="s">
        <v>198</v>
      </c>
      <c r="B43" s="142"/>
      <c r="C43" s="143"/>
      <c r="D43" s="143"/>
      <c r="E43" s="143"/>
      <c r="F43" s="143"/>
      <c r="G43" s="143"/>
      <c r="H43" s="143"/>
      <c r="I43" s="143"/>
      <c r="J43" s="73"/>
      <c r="K43" s="143"/>
      <c r="L43" s="143"/>
      <c r="M43" s="143"/>
      <c r="N43" s="143"/>
      <c r="O43" s="143"/>
      <c r="P43" s="143"/>
      <c r="Q43" s="143"/>
    </row>
    <row r="44" spans="1:17">
      <c r="A44" s="141" t="s">
        <v>194</v>
      </c>
      <c r="B44" s="141"/>
      <c r="C44" s="143">
        <f>'1.Project Cost and MOF'!D6</f>
        <v>12597099.24</v>
      </c>
      <c r="D44" s="143">
        <f t="shared" ref="D44:I44" si="16">C47</f>
        <v>11799702.858108001</v>
      </c>
      <c r="E44" s="143">
        <f t="shared" si="16"/>
        <v>11002306.476216001</v>
      </c>
      <c r="F44" s="143">
        <f t="shared" si="16"/>
        <v>10204910.094324002</v>
      </c>
      <c r="G44" s="143">
        <f t="shared" si="16"/>
        <v>9407513.7124320026</v>
      </c>
      <c r="H44" s="143">
        <f t="shared" si="16"/>
        <v>8610117.3305400033</v>
      </c>
      <c r="I44" s="143">
        <f t="shared" si="16"/>
        <v>7812720.9486480029</v>
      </c>
      <c r="J44" s="73"/>
      <c r="K44" s="143">
        <f>C44</f>
        <v>12597099.24</v>
      </c>
      <c r="L44" s="143">
        <f t="shared" ref="L44:Q44" si="17">K47</f>
        <v>10707534.354</v>
      </c>
      <c r="M44" s="143">
        <f t="shared" si="17"/>
        <v>9101404.2008999996</v>
      </c>
      <c r="N44" s="143">
        <f t="shared" si="17"/>
        <v>7736193.5707649998</v>
      </c>
      <c r="O44" s="143">
        <f t="shared" si="17"/>
        <v>6575764.5351502504</v>
      </c>
      <c r="P44" s="143">
        <f t="shared" si="17"/>
        <v>5589399.8548777131</v>
      </c>
      <c r="Q44" s="143">
        <f t="shared" si="17"/>
        <v>4750989.8766460558</v>
      </c>
    </row>
    <row r="45" spans="1:17">
      <c r="A45" s="141" t="s">
        <v>17</v>
      </c>
      <c r="B45" s="141"/>
      <c r="C45" s="143">
        <f t="shared" ref="C45:I45" si="18">$C$44*$B$79</f>
        <v>797396.38189199998</v>
      </c>
      <c r="D45" s="143">
        <f t="shared" si="18"/>
        <v>797396.38189199998</v>
      </c>
      <c r="E45" s="143">
        <f t="shared" si="18"/>
        <v>797396.38189199998</v>
      </c>
      <c r="F45" s="143">
        <f t="shared" si="18"/>
        <v>797396.38189199998</v>
      </c>
      <c r="G45" s="143">
        <f t="shared" si="18"/>
        <v>797396.38189199998</v>
      </c>
      <c r="H45" s="143">
        <f t="shared" si="18"/>
        <v>797396.38189199998</v>
      </c>
      <c r="I45" s="143">
        <f t="shared" si="18"/>
        <v>797396.38189199998</v>
      </c>
      <c r="J45" s="73"/>
      <c r="K45" s="143">
        <f t="shared" ref="K45:Q45" si="19">K44*$C$79</f>
        <v>1889564.8859999999</v>
      </c>
      <c r="L45" s="143">
        <f t="shared" si="19"/>
        <v>1606130.1531</v>
      </c>
      <c r="M45" s="143">
        <f t="shared" si="19"/>
        <v>1365210.630135</v>
      </c>
      <c r="N45" s="143">
        <f t="shared" si="19"/>
        <v>1160429.0356147499</v>
      </c>
      <c r="O45" s="143">
        <f t="shared" si="19"/>
        <v>986364.68027253752</v>
      </c>
      <c r="P45" s="143">
        <f t="shared" si="19"/>
        <v>838409.97823165695</v>
      </c>
      <c r="Q45" s="143">
        <f t="shared" si="19"/>
        <v>712648.48149690835</v>
      </c>
    </row>
    <row r="46" spans="1:17">
      <c r="A46" s="141" t="s">
        <v>195</v>
      </c>
      <c r="B46" s="141"/>
      <c r="C46" s="143">
        <f>C45</f>
        <v>797396.38189199998</v>
      </c>
      <c r="D46" s="143">
        <f t="shared" ref="D46:I46" si="20">C46+D45</f>
        <v>1594792.763784</v>
      </c>
      <c r="E46" s="143">
        <f t="shared" si="20"/>
        <v>2392189.145676</v>
      </c>
      <c r="F46" s="143">
        <f t="shared" si="20"/>
        <v>3189585.5275679999</v>
      </c>
      <c r="G46" s="143">
        <f t="shared" si="20"/>
        <v>3986981.9094599998</v>
      </c>
      <c r="H46" s="143">
        <f t="shared" si="20"/>
        <v>4784378.2913520001</v>
      </c>
      <c r="I46" s="143">
        <f t="shared" si="20"/>
        <v>5581774.6732440004</v>
      </c>
      <c r="J46" s="73"/>
      <c r="K46" s="143">
        <f>K45</f>
        <v>1889564.8859999999</v>
      </c>
      <c r="L46" s="143">
        <f t="shared" ref="L46:Q46" si="21">K46+L45</f>
        <v>3495695.0390999997</v>
      </c>
      <c r="M46" s="143">
        <f t="shared" si="21"/>
        <v>4860905.6692349995</v>
      </c>
      <c r="N46" s="143">
        <f t="shared" si="21"/>
        <v>6021334.7048497498</v>
      </c>
      <c r="O46" s="143">
        <f t="shared" si="21"/>
        <v>7007699.3851222871</v>
      </c>
      <c r="P46" s="143">
        <f t="shared" si="21"/>
        <v>7846109.3633539444</v>
      </c>
      <c r="Q46" s="143">
        <f t="shared" si="21"/>
        <v>8558757.8448508531</v>
      </c>
    </row>
    <row r="47" spans="1:17">
      <c r="A47" s="141" t="s">
        <v>196</v>
      </c>
      <c r="B47" s="141"/>
      <c r="C47" s="143">
        <f t="shared" ref="C47:I47" si="22">C44-C45</f>
        <v>11799702.858108001</v>
      </c>
      <c r="D47" s="143">
        <f t="shared" si="22"/>
        <v>11002306.476216001</v>
      </c>
      <c r="E47" s="143">
        <f t="shared" si="22"/>
        <v>10204910.094324002</v>
      </c>
      <c r="F47" s="143">
        <f t="shared" si="22"/>
        <v>9407513.7124320026</v>
      </c>
      <c r="G47" s="143">
        <f t="shared" si="22"/>
        <v>8610117.3305400033</v>
      </c>
      <c r="H47" s="143">
        <f t="shared" si="22"/>
        <v>7812720.9486480029</v>
      </c>
      <c r="I47" s="143">
        <f t="shared" si="22"/>
        <v>7015324.5667560026</v>
      </c>
      <c r="J47" s="73"/>
      <c r="K47" s="143">
        <f t="shared" ref="K47:Q47" si="23">K44-K45</f>
        <v>10707534.354</v>
      </c>
      <c r="L47" s="143">
        <f t="shared" si="23"/>
        <v>9101404.2008999996</v>
      </c>
      <c r="M47" s="143">
        <f t="shared" si="23"/>
        <v>7736193.5707649998</v>
      </c>
      <c r="N47" s="143">
        <f t="shared" si="23"/>
        <v>6575764.5351502504</v>
      </c>
      <c r="O47" s="143">
        <f t="shared" si="23"/>
        <v>5589399.8548777131</v>
      </c>
      <c r="P47" s="143">
        <f t="shared" si="23"/>
        <v>4750989.8766460558</v>
      </c>
      <c r="Q47" s="143">
        <f t="shared" si="23"/>
        <v>4038341.3951491476</v>
      </c>
    </row>
    <row r="48" spans="1:17">
      <c r="A48" s="141"/>
      <c r="B48" s="141"/>
      <c r="C48" s="143"/>
      <c r="D48" s="143"/>
      <c r="E48" s="143"/>
      <c r="F48" s="143"/>
      <c r="G48" s="143"/>
      <c r="H48" s="143"/>
      <c r="I48" s="143"/>
      <c r="J48" s="73"/>
      <c r="K48" s="143"/>
      <c r="L48" s="143"/>
      <c r="M48" s="143"/>
      <c r="N48" s="143"/>
      <c r="O48" s="143"/>
      <c r="P48" s="143"/>
      <c r="Q48" s="143"/>
    </row>
    <row r="49" spans="1:17">
      <c r="A49" s="142" t="s">
        <v>199</v>
      </c>
      <c r="B49" s="142"/>
      <c r="C49" s="143"/>
      <c r="D49" s="143"/>
      <c r="E49" s="143"/>
      <c r="F49" s="143"/>
      <c r="G49" s="143"/>
      <c r="H49" s="143"/>
      <c r="I49" s="143"/>
      <c r="J49" s="73"/>
      <c r="K49" s="143"/>
      <c r="L49" s="143"/>
      <c r="M49" s="143"/>
      <c r="N49" s="143"/>
      <c r="O49" s="143"/>
      <c r="P49" s="143"/>
      <c r="Q49" s="143"/>
    </row>
    <row r="50" spans="1:17">
      <c r="A50" s="141" t="s">
        <v>194</v>
      </c>
      <c r="B50" s="141"/>
      <c r="C50" s="143">
        <f>'1.Project Cost and MOF'!D7</f>
        <v>0</v>
      </c>
      <c r="D50" s="143">
        <f t="shared" ref="D50:I50" si="24">C53</f>
        <v>0</v>
      </c>
      <c r="E50" s="143">
        <f t="shared" si="24"/>
        <v>0</v>
      </c>
      <c r="F50" s="143">
        <f t="shared" si="24"/>
        <v>0</v>
      </c>
      <c r="G50" s="143">
        <f t="shared" si="24"/>
        <v>0</v>
      </c>
      <c r="H50" s="143">
        <f t="shared" si="24"/>
        <v>0</v>
      </c>
      <c r="I50" s="143">
        <f t="shared" si="24"/>
        <v>0</v>
      </c>
      <c r="J50" s="73"/>
      <c r="K50" s="143">
        <f>C50</f>
        <v>0</v>
      </c>
      <c r="L50" s="143">
        <f t="shared" ref="L50:Q50" si="25">K53</f>
        <v>0</v>
      </c>
      <c r="M50" s="143">
        <f t="shared" si="25"/>
        <v>0</v>
      </c>
      <c r="N50" s="143">
        <f t="shared" si="25"/>
        <v>0</v>
      </c>
      <c r="O50" s="143">
        <f t="shared" si="25"/>
        <v>0</v>
      </c>
      <c r="P50" s="143">
        <f t="shared" si="25"/>
        <v>0</v>
      </c>
      <c r="Q50" s="143">
        <f t="shared" si="25"/>
        <v>0</v>
      </c>
    </row>
    <row r="51" spans="1:17">
      <c r="A51" s="141" t="s">
        <v>17</v>
      </c>
      <c r="B51" s="141"/>
      <c r="C51" s="143">
        <f t="shared" ref="C51:I51" si="26">$C$50*$B$76</f>
        <v>0</v>
      </c>
      <c r="D51" s="143">
        <f t="shared" si="26"/>
        <v>0</v>
      </c>
      <c r="E51" s="143">
        <f t="shared" si="26"/>
        <v>0</v>
      </c>
      <c r="F51" s="143">
        <f t="shared" si="26"/>
        <v>0</v>
      </c>
      <c r="G51" s="143">
        <f t="shared" si="26"/>
        <v>0</v>
      </c>
      <c r="H51" s="143">
        <f t="shared" si="26"/>
        <v>0</v>
      </c>
      <c r="I51" s="143">
        <f t="shared" si="26"/>
        <v>0</v>
      </c>
      <c r="J51" s="73"/>
      <c r="K51" s="143">
        <f t="shared" ref="K51:Q51" si="27">K50*$C$76</f>
        <v>0</v>
      </c>
      <c r="L51" s="143">
        <f t="shared" si="27"/>
        <v>0</v>
      </c>
      <c r="M51" s="143">
        <f t="shared" si="27"/>
        <v>0</v>
      </c>
      <c r="N51" s="143">
        <f t="shared" si="27"/>
        <v>0</v>
      </c>
      <c r="O51" s="143">
        <f t="shared" si="27"/>
        <v>0</v>
      </c>
      <c r="P51" s="143">
        <f t="shared" si="27"/>
        <v>0</v>
      </c>
      <c r="Q51" s="143">
        <f t="shared" si="27"/>
        <v>0</v>
      </c>
    </row>
    <row r="52" spans="1:17">
      <c r="A52" s="141" t="s">
        <v>195</v>
      </c>
      <c r="B52" s="141"/>
      <c r="C52" s="143">
        <f>C51</f>
        <v>0</v>
      </c>
      <c r="D52" s="143">
        <f t="shared" ref="D52:I52" si="28">C52+D51</f>
        <v>0</v>
      </c>
      <c r="E52" s="143">
        <f t="shared" si="28"/>
        <v>0</v>
      </c>
      <c r="F52" s="143">
        <f t="shared" si="28"/>
        <v>0</v>
      </c>
      <c r="G52" s="143">
        <f t="shared" si="28"/>
        <v>0</v>
      </c>
      <c r="H52" s="143">
        <f t="shared" si="28"/>
        <v>0</v>
      </c>
      <c r="I52" s="143">
        <f t="shared" si="28"/>
        <v>0</v>
      </c>
      <c r="J52" s="73"/>
      <c r="K52" s="143">
        <f>K51</f>
        <v>0</v>
      </c>
      <c r="L52" s="143">
        <f t="shared" ref="L52:Q52" si="29">K52+L51</f>
        <v>0</v>
      </c>
      <c r="M52" s="143">
        <f t="shared" si="29"/>
        <v>0</v>
      </c>
      <c r="N52" s="143">
        <f t="shared" si="29"/>
        <v>0</v>
      </c>
      <c r="O52" s="143">
        <f t="shared" si="29"/>
        <v>0</v>
      </c>
      <c r="P52" s="143">
        <f t="shared" si="29"/>
        <v>0</v>
      </c>
      <c r="Q52" s="143">
        <f t="shared" si="29"/>
        <v>0</v>
      </c>
    </row>
    <row r="53" spans="1:17">
      <c r="A53" s="141" t="s">
        <v>196</v>
      </c>
      <c r="B53" s="141"/>
      <c r="C53" s="143">
        <f t="shared" ref="C53:I53" si="30">C50-C51</f>
        <v>0</v>
      </c>
      <c r="D53" s="143">
        <f t="shared" si="30"/>
        <v>0</v>
      </c>
      <c r="E53" s="143">
        <f t="shared" si="30"/>
        <v>0</v>
      </c>
      <c r="F53" s="143">
        <f t="shared" si="30"/>
        <v>0</v>
      </c>
      <c r="G53" s="143">
        <f t="shared" si="30"/>
        <v>0</v>
      </c>
      <c r="H53" s="143">
        <f t="shared" si="30"/>
        <v>0</v>
      </c>
      <c r="I53" s="143">
        <f t="shared" si="30"/>
        <v>0</v>
      </c>
      <c r="J53" s="73"/>
      <c r="K53" s="143">
        <f t="shared" ref="K53:Q53" si="31">K50-K51</f>
        <v>0</v>
      </c>
      <c r="L53" s="143">
        <f t="shared" si="31"/>
        <v>0</v>
      </c>
      <c r="M53" s="143">
        <f t="shared" si="31"/>
        <v>0</v>
      </c>
      <c r="N53" s="143">
        <f t="shared" si="31"/>
        <v>0</v>
      </c>
      <c r="O53" s="143">
        <f t="shared" si="31"/>
        <v>0</v>
      </c>
      <c r="P53" s="143">
        <f t="shared" si="31"/>
        <v>0</v>
      </c>
      <c r="Q53" s="143">
        <f t="shared" si="31"/>
        <v>0</v>
      </c>
    </row>
    <row r="54" spans="1:17">
      <c r="A54" s="141"/>
      <c r="B54" s="141"/>
      <c r="C54" s="143"/>
      <c r="D54" s="143"/>
      <c r="E54" s="143"/>
      <c r="F54" s="143"/>
      <c r="G54" s="143"/>
      <c r="H54" s="143"/>
      <c r="I54" s="143"/>
      <c r="J54" s="73"/>
      <c r="K54" s="143"/>
      <c r="L54" s="143"/>
      <c r="M54" s="143"/>
      <c r="N54" s="143"/>
      <c r="O54" s="143"/>
      <c r="P54" s="143"/>
      <c r="Q54" s="143"/>
    </row>
    <row r="55" spans="1:17">
      <c r="A55" s="142" t="s">
        <v>158</v>
      </c>
      <c r="B55" s="142"/>
      <c r="C55" s="143"/>
      <c r="D55" s="143"/>
      <c r="E55" s="143"/>
      <c r="F55" s="143"/>
      <c r="G55" s="143"/>
      <c r="H55" s="143"/>
      <c r="I55" s="143"/>
      <c r="J55" s="73"/>
      <c r="K55" s="143"/>
      <c r="L55" s="143"/>
      <c r="M55" s="143"/>
      <c r="N55" s="143"/>
      <c r="O55" s="143"/>
      <c r="P55" s="143"/>
      <c r="Q55" s="143"/>
    </row>
    <row r="56" spans="1:17">
      <c r="A56" s="141" t="s">
        <v>194</v>
      </c>
      <c r="B56" s="141"/>
      <c r="C56" s="143">
        <f>'1.Project Cost and MOF'!D9</f>
        <v>0</v>
      </c>
      <c r="D56" s="143">
        <f t="shared" ref="D56:I56" si="32">C59</f>
        <v>0</v>
      </c>
      <c r="E56" s="143">
        <f t="shared" si="32"/>
        <v>0</v>
      </c>
      <c r="F56" s="143">
        <f t="shared" si="32"/>
        <v>0</v>
      </c>
      <c r="G56" s="143">
        <f t="shared" si="32"/>
        <v>0</v>
      </c>
      <c r="H56" s="143">
        <f t="shared" si="32"/>
        <v>0</v>
      </c>
      <c r="I56" s="143">
        <f t="shared" si="32"/>
        <v>0</v>
      </c>
      <c r="J56" s="73"/>
      <c r="K56" s="143">
        <f>C56</f>
        <v>0</v>
      </c>
      <c r="L56" s="143">
        <f t="shared" ref="L56:Q56" si="33">K59</f>
        <v>0</v>
      </c>
      <c r="M56" s="143">
        <f t="shared" si="33"/>
        <v>0</v>
      </c>
      <c r="N56" s="143">
        <f t="shared" si="33"/>
        <v>0</v>
      </c>
      <c r="O56" s="143">
        <f t="shared" si="33"/>
        <v>0</v>
      </c>
      <c r="P56" s="143">
        <f t="shared" si="33"/>
        <v>0</v>
      </c>
      <c r="Q56" s="143">
        <f t="shared" si="33"/>
        <v>0</v>
      </c>
    </row>
    <row r="57" spans="1:17">
      <c r="A57" s="141" t="s">
        <v>17</v>
      </c>
      <c r="B57" s="141"/>
      <c r="C57" s="143">
        <f t="shared" ref="C57:I57" si="34">$C$56*$B$78</f>
        <v>0</v>
      </c>
      <c r="D57" s="143">
        <f t="shared" si="34"/>
        <v>0</v>
      </c>
      <c r="E57" s="143">
        <f t="shared" si="34"/>
        <v>0</v>
      </c>
      <c r="F57" s="143">
        <f t="shared" si="34"/>
        <v>0</v>
      </c>
      <c r="G57" s="143">
        <f t="shared" si="34"/>
        <v>0</v>
      </c>
      <c r="H57" s="143">
        <f t="shared" si="34"/>
        <v>0</v>
      </c>
      <c r="I57" s="143">
        <f t="shared" si="34"/>
        <v>0</v>
      </c>
      <c r="J57" s="73"/>
      <c r="K57" s="143">
        <f t="shared" ref="K57:Q57" si="35">K56*$C$78</f>
        <v>0</v>
      </c>
      <c r="L57" s="143">
        <f t="shared" si="35"/>
        <v>0</v>
      </c>
      <c r="M57" s="143">
        <f t="shared" si="35"/>
        <v>0</v>
      </c>
      <c r="N57" s="143">
        <f t="shared" si="35"/>
        <v>0</v>
      </c>
      <c r="O57" s="143">
        <f t="shared" si="35"/>
        <v>0</v>
      </c>
      <c r="P57" s="143">
        <f t="shared" si="35"/>
        <v>0</v>
      </c>
      <c r="Q57" s="143">
        <f t="shared" si="35"/>
        <v>0</v>
      </c>
    </row>
    <row r="58" spans="1:17">
      <c r="A58" s="141" t="s">
        <v>195</v>
      </c>
      <c r="B58" s="141"/>
      <c r="C58" s="143">
        <f>C57</f>
        <v>0</v>
      </c>
      <c r="D58" s="143">
        <f t="shared" ref="D58:I58" si="36">C58+D57</f>
        <v>0</v>
      </c>
      <c r="E58" s="143">
        <f t="shared" si="36"/>
        <v>0</v>
      </c>
      <c r="F58" s="143">
        <f t="shared" si="36"/>
        <v>0</v>
      </c>
      <c r="G58" s="143">
        <f t="shared" si="36"/>
        <v>0</v>
      </c>
      <c r="H58" s="143">
        <f t="shared" si="36"/>
        <v>0</v>
      </c>
      <c r="I58" s="143">
        <f t="shared" si="36"/>
        <v>0</v>
      </c>
      <c r="J58" s="73"/>
      <c r="K58" s="143">
        <f>K57</f>
        <v>0</v>
      </c>
      <c r="L58" s="143">
        <f t="shared" ref="L58:Q58" si="37">K58+L57</f>
        <v>0</v>
      </c>
      <c r="M58" s="143">
        <f t="shared" si="37"/>
        <v>0</v>
      </c>
      <c r="N58" s="143">
        <f t="shared" si="37"/>
        <v>0</v>
      </c>
      <c r="O58" s="143">
        <f t="shared" si="37"/>
        <v>0</v>
      </c>
      <c r="P58" s="143">
        <f t="shared" si="37"/>
        <v>0</v>
      </c>
      <c r="Q58" s="143">
        <f t="shared" si="37"/>
        <v>0</v>
      </c>
    </row>
    <row r="59" spans="1:17">
      <c r="A59" s="141" t="s">
        <v>196</v>
      </c>
      <c r="B59" s="141"/>
      <c r="C59" s="143">
        <f t="shared" ref="C59:I59" si="38">C56-C57</f>
        <v>0</v>
      </c>
      <c r="D59" s="143">
        <f t="shared" si="38"/>
        <v>0</v>
      </c>
      <c r="E59" s="143">
        <f t="shared" si="38"/>
        <v>0</v>
      </c>
      <c r="F59" s="143">
        <f t="shared" si="38"/>
        <v>0</v>
      </c>
      <c r="G59" s="143">
        <f t="shared" si="38"/>
        <v>0</v>
      </c>
      <c r="H59" s="143">
        <f t="shared" si="38"/>
        <v>0</v>
      </c>
      <c r="I59" s="143">
        <f t="shared" si="38"/>
        <v>0</v>
      </c>
      <c r="J59" s="73"/>
      <c r="K59" s="143">
        <f t="shared" ref="K59:Q59" si="39">K56-K57</f>
        <v>0</v>
      </c>
      <c r="L59" s="143">
        <f t="shared" si="39"/>
        <v>0</v>
      </c>
      <c r="M59" s="143">
        <f t="shared" si="39"/>
        <v>0</v>
      </c>
      <c r="N59" s="143">
        <f t="shared" si="39"/>
        <v>0</v>
      </c>
      <c r="O59" s="143">
        <f t="shared" si="39"/>
        <v>0</v>
      </c>
      <c r="P59" s="143">
        <f t="shared" si="39"/>
        <v>0</v>
      </c>
      <c r="Q59" s="143">
        <f t="shared" si="39"/>
        <v>0</v>
      </c>
    </row>
    <row r="60" spans="1:17">
      <c r="A60" s="141"/>
      <c r="B60" s="141"/>
      <c r="C60" s="143"/>
      <c r="D60" s="143"/>
      <c r="E60" s="143"/>
      <c r="F60" s="143"/>
      <c r="G60" s="143"/>
      <c r="H60" s="143"/>
      <c r="I60" s="143"/>
      <c r="J60" s="73"/>
      <c r="K60" s="143"/>
      <c r="L60" s="143"/>
      <c r="M60" s="143"/>
      <c r="N60" s="143"/>
      <c r="O60" s="143"/>
      <c r="P60" s="143"/>
      <c r="Q60" s="143"/>
    </row>
    <row r="61" spans="1:17">
      <c r="A61" s="271" t="s">
        <v>322</v>
      </c>
      <c r="B61" s="141"/>
      <c r="C61" s="143"/>
      <c r="D61" s="143"/>
      <c r="E61" s="143"/>
      <c r="F61" s="143"/>
      <c r="G61" s="143"/>
      <c r="H61" s="143"/>
      <c r="I61" s="143"/>
      <c r="J61" s="73"/>
      <c r="K61" s="143"/>
      <c r="L61" s="143"/>
      <c r="M61" s="143"/>
      <c r="N61" s="143"/>
      <c r="O61" s="143"/>
      <c r="P61" s="143"/>
      <c r="Q61" s="143"/>
    </row>
    <row r="62" spans="1:17">
      <c r="A62" s="141" t="str">
        <f>A56</f>
        <v>Asset Value</v>
      </c>
      <c r="B62" s="141"/>
      <c r="C62" s="143">
        <f>'1.Project Cost and MOF'!D8</f>
        <v>140000</v>
      </c>
      <c r="D62" s="143">
        <f t="shared" ref="D62:I62" si="40">C65</f>
        <v>126000</v>
      </c>
      <c r="E62" s="143">
        <f t="shared" si="40"/>
        <v>112000</v>
      </c>
      <c r="F62" s="143">
        <f t="shared" si="40"/>
        <v>98000</v>
      </c>
      <c r="G62" s="143">
        <f t="shared" si="40"/>
        <v>84000</v>
      </c>
      <c r="H62" s="143">
        <f t="shared" si="40"/>
        <v>70000</v>
      </c>
      <c r="I62" s="143">
        <f t="shared" si="40"/>
        <v>56000</v>
      </c>
      <c r="J62" s="73"/>
      <c r="K62" s="143">
        <f>C62</f>
        <v>140000</v>
      </c>
      <c r="L62" s="143">
        <f t="shared" ref="L62:Q62" si="41">K65</f>
        <v>84000</v>
      </c>
      <c r="M62" s="143">
        <f t="shared" si="41"/>
        <v>50400</v>
      </c>
      <c r="N62" s="143">
        <f t="shared" si="41"/>
        <v>30240</v>
      </c>
      <c r="O62" s="143">
        <f t="shared" si="41"/>
        <v>18144</v>
      </c>
      <c r="P62" s="143">
        <f t="shared" si="41"/>
        <v>10886.4</v>
      </c>
      <c r="Q62" s="143">
        <f t="shared" si="41"/>
        <v>6531.8399999999992</v>
      </c>
    </row>
    <row r="63" spans="1:17">
      <c r="A63" s="141" t="str">
        <f>A57</f>
        <v>Depreciation</v>
      </c>
      <c r="B63" s="141"/>
      <c r="C63" s="143">
        <f t="shared" ref="C63:I63" si="42">$C$62*$B$77</f>
        <v>14000</v>
      </c>
      <c r="D63" s="143">
        <f t="shared" si="42"/>
        <v>14000</v>
      </c>
      <c r="E63" s="143">
        <f t="shared" si="42"/>
        <v>14000</v>
      </c>
      <c r="F63" s="143">
        <f t="shared" si="42"/>
        <v>14000</v>
      </c>
      <c r="G63" s="143">
        <f t="shared" si="42"/>
        <v>14000</v>
      </c>
      <c r="H63" s="143">
        <f t="shared" si="42"/>
        <v>14000</v>
      </c>
      <c r="I63" s="143">
        <f t="shared" si="42"/>
        <v>14000</v>
      </c>
      <c r="J63" s="73"/>
      <c r="K63" s="143">
        <f t="shared" ref="K63:Q63" si="43">K62*$C$77</f>
        <v>56000</v>
      </c>
      <c r="L63" s="143">
        <f t="shared" si="43"/>
        <v>33600</v>
      </c>
      <c r="M63" s="143">
        <f t="shared" si="43"/>
        <v>20160</v>
      </c>
      <c r="N63" s="143">
        <f t="shared" si="43"/>
        <v>12096</v>
      </c>
      <c r="O63" s="143">
        <f t="shared" si="43"/>
        <v>7257.6</v>
      </c>
      <c r="P63" s="143">
        <f t="shared" si="43"/>
        <v>4354.5600000000004</v>
      </c>
      <c r="Q63" s="143">
        <f t="shared" si="43"/>
        <v>2612.7359999999999</v>
      </c>
    </row>
    <row r="64" spans="1:17">
      <c r="A64" s="141" t="str">
        <f>A58</f>
        <v>Accumulated Depreciation</v>
      </c>
      <c r="B64" s="141"/>
      <c r="C64" s="143">
        <f>C63</f>
        <v>14000</v>
      </c>
      <c r="D64" s="143">
        <f t="shared" ref="D64:I64" si="44">D63+C64</f>
        <v>28000</v>
      </c>
      <c r="E64" s="143">
        <f t="shared" si="44"/>
        <v>42000</v>
      </c>
      <c r="F64" s="143">
        <f t="shared" si="44"/>
        <v>56000</v>
      </c>
      <c r="G64" s="143">
        <f t="shared" si="44"/>
        <v>70000</v>
      </c>
      <c r="H64" s="143">
        <f t="shared" si="44"/>
        <v>84000</v>
      </c>
      <c r="I64" s="143">
        <f t="shared" si="44"/>
        <v>98000</v>
      </c>
      <c r="J64" s="73"/>
      <c r="K64" s="143">
        <f>K63</f>
        <v>56000</v>
      </c>
      <c r="L64" s="143">
        <f t="shared" ref="L64:Q64" si="45">L63+K64</f>
        <v>89600</v>
      </c>
      <c r="M64" s="143">
        <f t="shared" si="45"/>
        <v>109760</v>
      </c>
      <c r="N64" s="143">
        <f t="shared" si="45"/>
        <v>121856</v>
      </c>
      <c r="O64" s="143">
        <f t="shared" si="45"/>
        <v>129113.60000000001</v>
      </c>
      <c r="P64" s="143">
        <f t="shared" si="45"/>
        <v>133468.16</v>
      </c>
      <c r="Q64" s="143">
        <f t="shared" si="45"/>
        <v>136080.89600000001</v>
      </c>
    </row>
    <row r="65" spans="1:17">
      <c r="A65" s="141" t="str">
        <f>A59</f>
        <v>Net Fixed Assets</v>
      </c>
      <c r="B65" s="141"/>
      <c r="C65" s="143">
        <f t="shared" ref="C65:I65" si="46">C62-C63</f>
        <v>126000</v>
      </c>
      <c r="D65" s="143">
        <f t="shared" si="46"/>
        <v>112000</v>
      </c>
      <c r="E65" s="143">
        <f t="shared" si="46"/>
        <v>98000</v>
      </c>
      <c r="F65" s="143">
        <f t="shared" si="46"/>
        <v>84000</v>
      </c>
      <c r="G65" s="143">
        <f t="shared" si="46"/>
        <v>70000</v>
      </c>
      <c r="H65" s="143">
        <f t="shared" si="46"/>
        <v>56000</v>
      </c>
      <c r="I65" s="143">
        <f t="shared" si="46"/>
        <v>42000</v>
      </c>
      <c r="J65" s="73"/>
      <c r="K65" s="143">
        <f t="shared" ref="K65:Q65" si="47">K62-K63</f>
        <v>84000</v>
      </c>
      <c r="L65" s="143">
        <f t="shared" si="47"/>
        <v>50400</v>
      </c>
      <c r="M65" s="143">
        <f t="shared" si="47"/>
        <v>30240</v>
      </c>
      <c r="N65" s="143">
        <f t="shared" si="47"/>
        <v>18144</v>
      </c>
      <c r="O65" s="143">
        <f t="shared" si="47"/>
        <v>10886.4</v>
      </c>
      <c r="P65" s="143">
        <f t="shared" si="47"/>
        <v>6531.8399999999992</v>
      </c>
      <c r="Q65" s="143">
        <f t="shared" si="47"/>
        <v>3919.1039999999994</v>
      </c>
    </row>
    <row r="66" spans="1:17">
      <c r="A66" s="142" t="s">
        <v>200</v>
      </c>
      <c r="B66" s="142"/>
      <c r="C66" s="137">
        <f t="shared" ref="C66:I69" si="48">C50+C44+C38+C56+C62</f>
        <v>26652599.240000002</v>
      </c>
      <c r="D66" s="137">
        <f t="shared" si="48"/>
        <v>25400081.508108001</v>
      </c>
      <c r="E66" s="137">
        <f t="shared" si="48"/>
        <v>24147563.776216</v>
      </c>
      <c r="F66" s="137">
        <f t="shared" si="48"/>
        <v>22895046.044324003</v>
      </c>
      <c r="G66" s="137">
        <f t="shared" si="48"/>
        <v>21642528.312432006</v>
      </c>
      <c r="H66" s="137">
        <f t="shared" si="48"/>
        <v>20390010.580540005</v>
      </c>
      <c r="I66" s="137">
        <f t="shared" si="48"/>
        <v>19137492.848648004</v>
      </c>
      <c r="J66" s="73"/>
      <c r="K66" s="137">
        <f t="shared" ref="K66:Q69" si="49">K50+K44+K38+K56+K62</f>
        <v>26652599.240000002</v>
      </c>
      <c r="L66" s="137">
        <f t="shared" si="49"/>
        <v>23315484.354000002</v>
      </c>
      <c r="M66" s="137">
        <f t="shared" si="49"/>
        <v>20423359.2009</v>
      </c>
      <c r="N66" s="137">
        <f t="shared" si="49"/>
        <v>17910833.070765</v>
      </c>
      <c r="O66" s="137">
        <f t="shared" si="49"/>
        <v>15723868.085150251</v>
      </c>
      <c r="P66" s="137">
        <f t="shared" si="49"/>
        <v>13817249.849877713</v>
      </c>
      <c r="Q66" s="137">
        <f t="shared" si="49"/>
        <v>12152788.952146057</v>
      </c>
    </row>
    <row r="67" spans="1:17">
      <c r="A67" s="142" t="s">
        <v>201</v>
      </c>
      <c r="B67" s="142"/>
      <c r="C67" s="137">
        <f t="shared" si="48"/>
        <v>1252517.731892</v>
      </c>
      <c r="D67" s="137">
        <f t="shared" si="48"/>
        <v>1252517.731892</v>
      </c>
      <c r="E67" s="137">
        <f t="shared" si="48"/>
        <v>1252517.731892</v>
      </c>
      <c r="F67" s="137">
        <f t="shared" si="48"/>
        <v>1252517.731892</v>
      </c>
      <c r="G67" s="137">
        <f t="shared" si="48"/>
        <v>1252517.731892</v>
      </c>
      <c r="H67" s="137">
        <f t="shared" si="48"/>
        <v>1252517.731892</v>
      </c>
      <c r="I67" s="137">
        <f t="shared" si="48"/>
        <v>1252517.731892</v>
      </c>
      <c r="J67" s="73"/>
      <c r="K67" s="137">
        <f t="shared" si="49"/>
        <v>3337114.8859999999</v>
      </c>
      <c r="L67" s="137">
        <f t="shared" si="49"/>
        <v>2892125.1530999998</v>
      </c>
      <c r="M67" s="137">
        <f t="shared" si="49"/>
        <v>2512526.1301349998</v>
      </c>
      <c r="N67" s="137">
        <f t="shared" si="49"/>
        <v>2186964.9856147501</v>
      </c>
      <c r="O67" s="137">
        <f t="shared" si="49"/>
        <v>1906618.2352725377</v>
      </c>
      <c r="P67" s="137">
        <f t="shared" si="49"/>
        <v>1664460.8977316571</v>
      </c>
      <c r="Q67" s="137">
        <f t="shared" si="49"/>
        <v>1454787.9410469085</v>
      </c>
    </row>
    <row r="68" spans="1:17">
      <c r="A68" s="142" t="s">
        <v>202</v>
      </c>
      <c r="B68" s="142"/>
      <c r="C68" s="137">
        <f t="shared" si="48"/>
        <v>1252517.731892</v>
      </c>
      <c r="D68" s="137">
        <f t="shared" si="48"/>
        <v>2505035.4637839999</v>
      </c>
      <c r="E68" s="137">
        <f t="shared" si="48"/>
        <v>3757553.1956759999</v>
      </c>
      <c r="F68" s="137">
        <f t="shared" si="48"/>
        <v>5010070.9275679998</v>
      </c>
      <c r="G68" s="137">
        <f t="shared" si="48"/>
        <v>6262588.6594599998</v>
      </c>
      <c r="H68" s="137">
        <f t="shared" si="48"/>
        <v>7515106.3913519997</v>
      </c>
      <c r="I68" s="137">
        <f t="shared" si="48"/>
        <v>8767624.1232440006</v>
      </c>
      <c r="J68" s="73"/>
      <c r="K68" s="137">
        <f t="shared" si="49"/>
        <v>3337114.8859999999</v>
      </c>
      <c r="L68" s="137">
        <f t="shared" si="49"/>
        <v>6229240.0390999997</v>
      </c>
      <c r="M68" s="137">
        <f t="shared" si="49"/>
        <v>8741766.1692349985</v>
      </c>
      <c r="N68" s="137">
        <f t="shared" si="49"/>
        <v>10928731.154849749</v>
      </c>
      <c r="O68" s="137">
        <f t="shared" si="49"/>
        <v>12835349.390122287</v>
      </c>
      <c r="P68" s="137">
        <f t="shared" si="49"/>
        <v>14499810.287853945</v>
      </c>
      <c r="Q68" s="137">
        <f t="shared" si="49"/>
        <v>15954598.228900854</v>
      </c>
    </row>
    <row r="69" spans="1:17">
      <c r="A69" s="142" t="s">
        <v>196</v>
      </c>
      <c r="B69" s="142"/>
      <c r="C69" s="137">
        <f t="shared" si="48"/>
        <v>25400081.508108001</v>
      </c>
      <c r="D69" s="137">
        <f t="shared" si="48"/>
        <v>24147563.776216</v>
      </c>
      <c r="E69" s="137">
        <f t="shared" si="48"/>
        <v>22895046.044324003</v>
      </c>
      <c r="F69" s="137">
        <f t="shared" si="48"/>
        <v>21642528.312432006</v>
      </c>
      <c r="G69" s="137">
        <f t="shared" si="48"/>
        <v>20390010.580540005</v>
      </c>
      <c r="H69" s="137">
        <f t="shared" si="48"/>
        <v>19137492.848648004</v>
      </c>
      <c r="I69" s="137">
        <f t="shared" si="48"/>
        <v>17884975.116756007</v>
      </c>
      <c r="J69" s="73"/>
      <c r="K69" s="137">
        <f t="shared" si="49"/>
        <v>23315484.354000002</v>
      </c>
      <c r="L69" s="137">
        <f t="shared" si="49"/>
        <v>20423359.2009</v>
      </c>
      <c r="M69" s="137">
        <f t="shared" si="49"/>
        <v>17910833.070765</v>
      </c>
      <c r="N69" s="137">
        <f t="shared" si="49"/>
        <v>15723868.085150251</v>
      </c>
      <c r="O69" s="137">
        <f t="shared" si="49"/>
        <v>13817249.849877713</v>
      </c>
      <c r="P69" s="137">
        <f t="shared" si="49"/>
        <v>12152788.952146057</v>
      </c>
      <c r="Q69" s="137">
        <f t="shared" si="49"/>
        <v>10698001.011099149</v>
      </c>
    </row>
    <row r="70" spans="1:17">
      <c r="A70" s="146"/>
      <c r="B70" s="146"/>
      <c r="C70" s="147"/>
      <c r="D70" s="147"/>
      <c r="E70" s="147"/>
      <c r="F70" s="147"/>
      <c r="G70" s="147"/>
      <c r="H70" s="147"/>
      <c r="I70" s="147"/>
      <c r="J70" s="72"/>
    </row>
    <row r="71" spans="1:17">
      <c r="A71" s="72"/>
      <c r="B71" s="72"/>
      <c r="C71" s="72"/>
      <c r="D71" s="72"/>
      <c r="E71" s="72"/>
      <c r="F71" s="72"/>
      <c r="G71" s="72"/>
      <c r="H71" s="72"/>
      <c r="I71" s="72"/>
      <c r="J71" s="72"/>
    </row>
    <row r="72" spans="1:17" ht="72">
      <c r="A72" s="148" t="s">
        <v>203</v>
      </c>
      <c r="B72" s="151" t="s">
        <v>665</v>
      </c>
      <c r="C72" s="151" t="s">
        <v>666</v>
      </c>
      <c r="D72" s="72"/>
      <c r="E72" s="72"/>
      <c r="F72" s="72"/>
      <c r="G72" s="72"/>
      <c r="H72" s="72"/>
      <c r="I72" s="72"/>
      <c r="J72" s="72"/>
    </row>
    <row r="73" spans="1:17" ht="43.5">
      <c r="A73" s="151" t="s">
        <v>204</v>
      </c>
      <c r="B73" s="149" t="s">
        <v>205</v>
      </c>
      <c r="C73" s="150" t="s">
        <v>206</v>
      </c>
      <c r="D73" s="72"/>
      <c r="E73" s="72"/>
      <c r="F73" s="72"/>
      <c r="G73" s="72"/>
      <c r="H73" s="72"/>
      <c r="I73" s="72"/>
      <c r="J73" s="72"/>
    </row>
    <row r="74" spans="1:17">
      <c r="A74" s="151" t="s">
        <v>148</v>
      </c>
      <c r="B74" s="152">
        <v>0</v>
      </c>
      <c r="C74" s="152">
        <v>0</v>
      </c>
      <c r="D74" s="72"/>
      <c r="E74" s="72"/>
      <c r="F74" s="72"/>
      <c r="G74" s="72"/>
      <c r="H74" s="72"/>
      <c r="I74" s="72"/>
      <c r="J74" s="72"/>
    </row>
    <row r="75" spans="1:17">
      <c r="A75" s="153" t="s">
        <v>197</v>
      </c>
      <c r="B75" s="152">
        <v>3.1699999999999999E-2</v>
      </c>
      <c r="C75" s="152">
        <v>0.1</v>
      </c>
      <c r="D75" s="154"/>
      <c r="E75" s="72"/>
      <c r="F75" s="72"/>
      <c r="G75" s="72"/>
      <c r="H75" s="72"/>
      <c r="I75" s="72"/>
      <c r="J75" s="72"/>
    </row>
    <row r="76" spans="1:17">
      <c r="A76" s="153" t="s">
        <v>199</v>
      </c>
      <c r="B76" s="316">
        <v>0.1</v>
      </c>
      <c r="C76" s="152">
        <v>0.1</v>
      </c>
      <c r="D76" s="72"/>
      <c r="E76" s="72"/>
      <c r="F76" s="72"/>
      <c r="G76" s="72"/>
      <c r="H76" s="72"/>
      <c r="I76" s="72"/>
      <c r="J76" s="72"/>
    </row>
    <row r="77" spans="1:17">
      <c r="A77" s="72" t="s">
        <v>207</v>
      </c>
      <c r="B77" s="316">
        <v>0.1</v>
      </c>
      <c r="C77" s="155">
        <v>0.4</v>
      </c>
      <c r="D77" s="72"/>
      <c r="E77" s="72"/>
      <c r="F77" s="72"/>
      <c r="G77" s="72"/>
      <c r="H77" s="72"/>
      <c r="I77" s="72"/>
      <c r="J77" s="72"/>
    </row>
    <row r="78" spans="1:17">
      <c r="A78" s="72" t="s">
        <v>272</v>
      </c>
      <c r="B78" s="316">
        <v>0.1188</v>
      </c>
      <c r="C78" s="155">
        <v>0.15</v>
      </c>
      <c r="D78" s="72"/>
      <c r="E78" s="72"/>
      <c r="F78" s="72"/>
      <c r="G78" s="72"/>
      <c r="H78" s="72"/>
      <c r="I78" s="72"/>
      <c r="J78" s="72"/>
    </row>
    <row r="79" spans="1:17">
      <c r="A79" s="153" t="s">
        <v>208</v>
      </c>
      <c r="B79" s="316">
        <v>6.3299999999999995E-2</v>
      </c>
      <c r="C79" s="155">
        <v>0.15</v>
      </c>
      <c r="D79" s="72"/>
      <c r="E79" s="72"/>
      <c r="F79" s="72"/>
      <c r="G79" s="72"/>
      <c r="H79" s="72"/>
      <c r="I79" s="72"/>
      <c r="J79" s="72"/>
    </row>
    <row r="80" spans="1:17" ht="43.5">
      <c r="A80" s="151" t="s">
        <v>203</v>
      </c>
      <c r="B80" s="152"/>
      <c r="C80" s="154"/>
      <c r="D80" s="72"/>
      <c r="E80" s="72"/>
      <c r="F80" s="72"/>
      <c r="G80" s="72"/>
      <c r="H80" s="72"/>
      <c r="I80" s="72"/>
      <c r="J80" s="72"/>
    </row>
    <row r="81" spans="1:12" ht="30">
      <c r="A81" s="153" t="s">
        <v>209</v>
      </c>
      <c r="B81" s="154">
        <v>0.2</v>
      </c>
      <c r="C81" s="154">
        <v>0.2</v>
      </c>
      <c r="D81" s="72"/>
      <c r="E81" s="72"/>
      <c r="F81" s="72"/>
      <c r="G81" s="72"/>
      <c r="H81" s="72"/>
      <c r="I81" s="72"/>
      <c r="J81" s="72"/>
    </row>
    <row r="82" spans="1:12">
      <c r="A82" s="72"/>
      <c r="B82" s="72"/>
      <c r="C82" s="72"/>
      <c r="D82" s="72"/>
      <c r="E82" s="72"/>
      <c r="F82" s="72"/>
      <c r="G82" s="72"/>
      <c r="H82" s="72"/>
      <c r="I82" s="72"/>
      <c r="J82" s="72"/>
    </row>
    <row r="83" spans="1:12">
      <c r="A83" s="72"/>
      <c r="B83" s="72"/>
      <c r="C83" s="72"/>
      <c r="D83" s="72"/>
      <c r="E83" s="156"/>
      <c r="F83" s="72"/>
      <c r="G83" s="72"/>
      <c r="H83" s="72"/>
      <c r="I83" s="72"/>
      <c r="J83" s="72"/>
    </row>
    <row r="84" spans="1:12" s="25" customFormat="1" ht="18.75">
      <c r="A84" s="404" t="s">
        <v>541</v>
      </c>
      <c r="B84" s="404"/>
      <c r="C84" s="404"/>
      <c r="D84" s="404"/>
      <c r="E84" s="404"/>
      <c r="F84" s="404"/>
      <c r="G84" s="404"/>
      <c r="H84" s="404"/>
      <c r="I84" s="404"/>
      <c r="J84" s="404"/>
    </row>
    <row r="85" spans="1:12" s="25" customFormat="1">
      <c r="A85" s="26"/>
      <c r="B85" s="26"/>
    </row>
    <row r="86" spans="1:12" s="25" customFormat="1">
      <c r="A86" s="129" t="s">
        <v>0</v>
      </c>
      <c r="B86" s="130" t="s">
        <v>332</v>
      </c>
      <c r="C86" s="131" t="s">
        <v>2</v>
      </c>
      <c r="D86" s="131" t="s">
        <v>3</v>
      </c>
      <c r="E86" s="131" t="s">
        <v>4</v>
      </c>
      <c r="F86" s="131" t="s">
        <v>5</v>
      </c>
      <c r="G86" s="131" t="s">
        <v>6</v>
      </c>
      <c r="H86" s="131" t="s">
        <v>168</v>
      </c>
      <c r="I86" s="131" t="s">
        <v>167</v>
      </c>
      <c r="J86" s="29"/>
      <c r="K86" s="29"/>
      <c r="L86" s="29"/>
    </row>
    <row r="87" spans="1:12" s="25" customFormat="1">
      <c r="A87" s="132" t="s">
        <v>250</v>
      </c>
      <c r="B87" s="133">
        <v>5</v>
      </c>
      <c r="C87" s="134">
        <f>'1.Project Cost and MOF'!$D$10/5</f>
        <v>27000</v>
      </c>
      <c r="D87" s="134">
        <f>'1.Project Cost and MOF'!$D$10/5</f>
        <v>27000</v>
      </c>
      <c r="E87" s="134">
        <f>'1.Project Cost and MOF'!$D$10/5</f>
        <v>27000</v>
      </c>
      <c r="F87" s="134">
        <f>'1.Project Cost and MOF'!$D$10/5</f>
        <v>27000</v>
      </c>
      <c r="G87" s="134">
        <f>'1.Project Cost and MOF'!$D$10/5</f>
        <v>27000</v>
      </c>
      <c r="H87" s="134">
        <v>0</v>
      </c>
      <c r="I87" s="134">
        <v>0</v>
      </c>
      <c r="J87" s="29"/>
      <c r="K87" s="29"/>
      <c r="L87" s="29"/>
    </row>
    <row r="88" spans="1:12" s="25" customFormat="1">
      <c r="A88" s="135" t="s">
        <v>333</v>
      </c>
      <c r="B88" s="136"/>
      <c r="C88" s="137">
        <f t="shared" ref="C88:I88" si="50">SUM(C86:C87)</f>
        <v>27000</v>
      </c>
      <c r="D88" s="137">
        <f t="shared" si="50"/>
        <v>27000</v>
      </c>
      <c r="E88" s="137">
        <f t="shared" si="50"/>
        <v>27000</v>
      </c>
      <c r="F88" s="137">
        <f t="shared" si="50"/>
        <v>27000</v>
      </c>
      <c r="G88" s="137">
        <f t="shared" si="50"/>
        <v>27000</v>
      </c>
      <c r="H88" s="137">
        <f t="shared" si="50"/>
        <v>0</v>
      </c>
      <c r="I88" s="137">
        <f t="shared" si="50"/>
        <v>0</v>
      </c>
      <c r="J88" s="51"/>
      <c r="K88" s="51"/>
      <c r="L88" s="51"/>
    </row>
    <row r="89" spans="1:12" s="25" customFormat="1">
      <c r="C89" s="29"/>
      <c r="D89" s="29"/>
      <c r="E89" s="29"/>
      <c r="F89" s="29"/>
      <c r="G89" s="29"/>
      <c r="H89" s="29"/>
      <c r="I89" s="29"/>
      <c r="J89" s="29"/>
      <c r="K89" s="29"/>
      <c r="L89" s="29"/>
    </row>
    <row r="92" spans="1:12">
      <c r="A92" s="24"/>
      <c r="B92" s="25"/>
      <c r="C92" s="25"/>
      <c r="D92" s="25"/>
      <c r="E92" s="25"/>
      <c r="F92" s="25"/>
      <c r="G92" s="25"/>
      <c r="H92" s="25"/>
      <c r="I92" s="25"/>
      <c r="J92" s="25"/>
      <c r="K92" s="25"/>
    </row>
    <row r="93" spans="1:12" ht="18.75">
      <c r="A93" s="420" t="s">
        <v>542</v>
      </c>
      <c r="B93" s="420"/>
      <c r="C93" s="420"/>
      <c r="D93" s="420"/>
      <c r="E93" s="420"/>
      <c r="F93" s="420"/>
      <c r="G93" s="420"/>
      <c r="H93" s="420"/>
      <c r="I93" s="126"/>
      <c r="J93" s="126"/>
      <c r="K93" s="126"/>
    </row>
    <row r="94" spans="1:12">
      <c r="A94" s="26"/>
      <c r="B94" s="25"/>
      <c r="C94" s="25"/>
      <c r="D94" s="25"/>
      <c r="E94" s="25"/>
      <c r="F94" s="25"/>
      <c r="G94" s="25"/>
      <c r="H94" s="25"/>
      <c r="I94" s="25"/>
      <c r="J94" s="25"/>
      <c r="K94" s="25"/>
    </row>
    <row r="95" spans="1:12">
      <c r="A95" s="124" t="s">
        <v>0</v>
      </c>
      <c r="B95" s="96" t="s">
        <v>2</v>
      </c>
      <c r="C95" s="96" t="s">
        <v>3</v>
      </c>
      <c r="D95" s="96" t="s">
        <v>4</v>
      </c>
      <c r="E95" s="96" t="s">
        <v>5</v>
      </c>
      <c r="F95" s="96" t="s">
        <v>6</v>
      </c>
      <c r="G95" s="96" t="s">
        <v>168</v>
      </c>
      <c r="H95" s="96" t="s">
        <v>167</v>
      </c>
      <c r="I95" s="21"/>
      <c r="J95" s="21"/>
      <c r="K95" s="21"/>
    </row>
    <row r="96" spans="1:12">
      <c r="A96" s="59" t="s">
        <v>222</v>
      </c>
      <c r="B96" s="127">
        <f>'6.Cons Profit &amp; Loss'!B49</f>
        <v>1405629.9635680956</v>
      </c>
      <c r="C96" s="127">
        <f>'6.Cons Profit &amp; Loss'!C49</f>
        <v>3468888.6404706822</v>
      </c>
      <c r="D96" s="127">
        <f>'6.Cons Profit &amp; Loss'!D49</f>
        <v>4923054.616633418</v>
      </c>
      <c r="E96" s="127">
        <f>'6.Cons Profit &amp; Loss'!E49</f>
        <v>6513942.2183461795</v>
      </c>
      <c r="F96" s="127">
        <f>'6.Cons Profit &amp; Loss'!F49</f>
        <v>8252726.5501791388</v>
      </c>
      <c r="G96" s="127">
        <f>'6.Cons Profit &amp; Loss'!G49</f>
        <v>9955088.2918672096</v>
      </c>
      <c r="H96" s="127">
        <f>'6.Cons Profit &amp; Loss'!H49</f>
        <v>11615381.853010457</v>
      </c>
      <c r="I96" s="28"/>
      <c r="J96" s="28"/>
      <c r="K96" s="28"/>
    </row>
    <row r="97" spans="1:11">
      <c r="A97" s="59" t="s">
        <v>223</v>
      </c>
      <c r="B97" s="127">
        <f>'6.Cons Profit &amp; Loss'!B42</f>
        <v>1252517.731892</v>
      </c>
      <c r="C97" s="127">
        <f>'6.Cons Profit &amp; Loss'!C42</f>
        <v>1252517.731892</v>
      </c>
      <c r="D97" s="127">
        <f>'6.Cons Profit &amp; Loss'!D42</f>
        <v>1252517.731892</v>
      </c>
      <c r="E97" s="127">
        <f>'6.Cons Profit &amp; Loss'!E42</f>
        <v>1252517.731892</v>
      </c>
      <c r="F97" s="127">
        <f>'6.Cons Profit &amp; Loss'!F42</f>
        <v>1252517.731892</v>
      </c>
      <c r="G97" s="127">
        <f>'6.Cons Profit &amp; Loss'!G42</f>
        <v>1252517.731892</v>
      </c>
      <c r="H97" s="127">
        <f>'6.Cons Profit &amp; Loss'!H42</f>
        <v>1252517.731892</v>
      </c>
      <c r="I97" s="28"/>
      <c r="J97" s="28"/>
      <c r="K97" s="28"/>
    </row>
    <row r="98" spans="1:11">
      <c r="A98" s="59" t="s">
        <v>224</v>
      </c>
      <c r="B98" s="127">
        <f>'3.Other Exp &amp; Taxes'!K67</f>
        <v>3337114.8859999999</v>
      </c>
      <c r="C98" s="127">
        <f>'3.Other Exp &amp; Taxes'!L67</f>
        <v>2892125.1530999998</v>
      </c>
      <c r="D98" s="127">
        <f>'3.Other Exp &amp; Taxes'!M67</f>
        <v>2512526.1301349998</v>
      </c>
      <c r="E98" s="127">
        <f>'3.Other Exp &amp; Taxes'!N67</f>
        <v>2186964.9856147501</v>
      </c>
      <c r="F98" s="127">
        <f>'3.Other Exp &amp; Taxes'!O67</f>
        <v>1906618.2352725377</v>
      </c>
      <c r="G98" s="127">
        <f>'3.Other Exp &amp; Taxes'!P67</f>
        <v>1664460.8977316571</v>
      </c>
      <c r="H98" s="127">
        <f>'3.Other Exp &amp; Taxes'!Q67</f>
        <v>1454787.9410469085</v>
      </c>
      <c r="I98" s="28"/>
      <c r="J98" s="28"/>
      <c r="K98" s="28"/>
    </row>
    <row r="99" spans="1:11">
      <c r="A99" s="59" t="s">
        <v>285</v>
      </c>
      <c r="B99" s="127">
        <f t="shared" ref="B99:H99" si="51">B96+B97-B98</f>
        <v>-678967.1905399044</v>
      </c>
      <c r="C99" s="127">
        <f t="shared" si="51"/>
        <v>1829281.2192626828</v>
      </c>
      <c r="D99" s="127">
        <f t="shared" si="51"/>
        <v>3663046.2183904182</v>
      </c>
      <c r="E99" s="127">
        <f t="shared" si="51"/>
        <v>5579494.9646234289</v>
      </c>
      <c r="F99" s="127">
        <f t="shared" si="51"/>
        <v>7598626.0467986017</v>
      </c>
      <c r="G99" s="127">
        <f t="shared" si="51"/>
        <v>9543145.1260275505</v>
      </c>
      <c r="H99" s="127">
        <f t="shared" si="51"/>
        <v>11413111.643855549</v>
      </c>
      <c r="I99" s="28"/>
      <c r="J99" s="28"/>
      <c r="K99" s="28"/>
    </row>
    <row r="100" spans="1:11">
      <c r="A100" s="61" t="s">
        <v>225</v>
      </c>
      <c r="B100" s="128" t="str">
        <f>IF(B99&gt;0,B99*$B$103,"0")</f>
        <v>0</v>
      </c>
      <c r="C100" s="128">
        <f>IF(C99&gt;0,C99*$B$103,"0")</f>
        <v>475613.11700829753</v>
      </c>
      <c r="D100" s="128">
        <f t="shared" ref="D100:H100" si="52">IF(D99&gt;0,D99*$B$103,"0")</f>
        <v>952392.01678150881</v>
      </c>
      <c r="E100" s="128">
        <f t="shared" si="52"/>
        <v>1450668.6908020915</v>
      </c>
      <c r="F100" s="128">
        <f t="shared" si="52"/>
        <v>1975642.7721676365</v>
      </c>
      <c r="G100" s="128">
        <f t="shared" si="52"/>
        <v>2481217.7327671633</v>
      </c>
      <c r="H100" s="128">
        <f t="shared" si="52"/>
        <v>2967409.0274024429</v>
      </c>
      <c r="I100" s="28"/>
      <c r="J100" s="28"/>
      <c r="K100" s="28"/>
    </row>
    <row r="101" spans="1:11">
      <c r="A101" s="27"/>
      <c r="B101" s="25"/>
      <c r="C101" s="25"/>
      <c r="D101" s="25"/>
      <c r="E101" s="25"/>
      <c r="F101" s="25"/>
      <c r="G101" s="25"/>
      <c r="H101" s="25"/>
      <c r="I101" s="25"/>
      <c r="J101" s="25"/>
      <c r="K101" s="25"/>
    </row>
    <row r="102" spans="1:11">
      <c r="A102" s="27"/>
      <c r="B102" s="29"/>
      <c r="C102" s="29"/>
      <c r="D102" s="29"/>
      <c r="E102" s="29"/>
      <c r="F102" s="29"/>
      <c r="G102" s="29"/>
      <c r="H102" s="29"/>
      <c r="I102" s="29"/>
      <c r="J102" s="29"/>
      <c r="K102" s="29"/>
    </row>
    <row r="103" spans="1:11">
      <c r="A103" s="30" t="s">
        <v>380</v>
      </c>
      <c r="B103" s="236">
        <v>0.26</v>
      </c>
      <c r="C103" s="29"/>
      <c r="D103" s="29"/>
      <c r="E103" s="29"/>
      <c r="F103" s="29"/>
      <c r="G103" s="29"/>
      <c r="H103" s="29"/>
      <c r="I103" s="29"/>
      <c r="J103" s="29"/>
      <c r="K103" s="29"/>
    </row>
    <row r="104" spans="1:11">
      <c r="A104" s="25"/>
      <c r="B104" s="25"/>
      <c r="C104" s="25"/>
      <c r="D104" s="25"/>
      <c r="E104" s="25"/>
      <c r="F104" s="25"/>
      <c r="G104" s="25"/>
      <c r="H104" s="25"/>
      <c r="I104" s="25"/>
      <c r="J104" s="25"/>
      <c r="K104" s="25"/>
    </row>
    <row r="105" spans="1:11" ht="29.1" customHeight="1">
      <c r="A105" s="421" t="s">
        <v>411</v>
      </c>
      <c r="B105" s="421"/>
      <c r="C105" s="421"/>
      <c r="D105" s="421"/>
      <c r="E105" s="421"/>
      <c r="F105" s="421"/>
      <c r="G105" s="421"/>
      <c r="H105" s="421"/>
      <c r="I105" s="23"/>
      <c r="J105" s="23"/>
      <c r="K105" s="23"/>
    </row>
  </sheetData>
  <mergeCells count="8">
    <mergeCell ref="A84:J84"/>
    <mergeCell ref="A93:H93"/>
    <mergeCell ref="A105:H105"/>
    <mergeCell ref="A2:K2"/>
    <mergeCell ref="A29:O29"/>
    <mergeCell ref="C32:I32"/>
    <mergeCell ref="K32:Q32"/>
    <mergeCell ref="A30:Q30"/>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CE4C-050F-4D91-8B6A-45C47C7AE725}">
  <dimension ref="B58:M83"/>
  <sheetViews>
    <sheetView topLeftCell="A68" workbookViewId="0">
      <selection activeCell="G76" sqref="B58:G76"/>
    </sheetView>
  </sheetViews>
  <sheetFormatPr defaultRowHeight="15"/>
  <cols>
    <col min="3" max="3" width="43.85546875" bestFit="1" customWidth="1"/>
    <col min="5" max="6" width="14.140625" bestFit="1" customWidth="1"/>
    <col min="7" max="7" width="11.42578125" bestFit="1" customWidth="1"/>
    <col min="11" max="11" width="6.85546875" bestFit="1" customWidth="1"/>
    <col min="12" max="12" width="50.5703125" bestFit="1" customWidth="1"/>
    <col min="13" max="13" width="29.85546875" bestFit="1" customWidth="1"/>
  </cols>
  <sheetData>
    <row r="58" spans="2:13" ht="15.75" thickBot="1">
      <c r="B58" s="242" t="s">
        <v>145</v>
      </c>
      <c r="C58" s="242" t="s">
        <v>0</v>
      </c>
      <c r="D58" s="242" t="s">
        <v>133</v>
      </c>
      <c r="E58" s="242" t="s">
        <v>697</v>
      </c>
      <c r="F58" s="242" t="s">
        <v>698</v>
      </c>
      <c r="G58" s="242" t="s">
        <v>725</v>
      </c>
    </row>
    <row r="59" spans="2:13" ht="15.75" thickBot="1">
      <c r="B59" s="9" t="s">
        <v>172</v>
      </c>
      <c r="C59" s="9" t="s">
        <v>699</v>
      </c>
      <c r="D59" s="9"/>
      <c r="E59" s="9"/>
      <c r="F59" s="9"/>
      <c r="G59" s="9"/>
      <c r="K59" s="364" t="s">
        <v>145</v>
      </c>
      <c r="L59" s="365" t="s">
        <v>0</v>
      </c>
      <c r="M59" s="365" t="s">
        <v>733</v>
      </c>
    </row>
    <row r="60" spans="2:13" ht="15.75" thickBot="1">
      <c r="B60" s="9">
        <v>1</v>
      </c>
      <c r="C60" s="9"/>
      <c r="D60" s="9">
        <v>1</v>
      </c>
      <c r="E60" s="20"/>
      <c r="F60" s="20"/>
      <c r="G60" s="346">
        <f>F61/$F$76</f>
        <v>0</v>
      </c>
      <c r="K60" s="369" t="s">
        <v>172</v>
      </c>
      <c r="L60" s="370" t="s">
        <v>699</v>
      </c>
      <c r="M60" s="366"/>
    </row>
    <row r="61" spans="2:13" ht="15.75" thickBot="1">
      <c r="B61" s="425" t="s">
        <v>170</v>
      </c>
      <c r="C61" s="425"/>
      <c r="D61" s="425"/>
      <c r="E61" s="425"/>
      <c r="F61" s="20">
        <f>SUM(F60:F60)</f>
        <v>0</v>
      </c>
      <c r="G61" s="346"/>
      <c r="K61" s="367"/>
      <c r="L61" s="366"/>
      <c r="M61" s="368"/>
    </row>
    <row r="62" spans="2:13" ht="15.75" thickBot="1">
      <c r="B62" s="9" t="s">
        <v>700</v>
      </c>
      <c r="C62" s="9" t="s">
        <v>701</v>
      </c>
      <c r="D62" s="9"/>
      <c r="E62" s="9"/>
      <c r="F62" s="9"/>
      <c r="G62" s="344"/>
      <c r="K62" s="367"/>
      <c r="L62" s="366"/>
      <c r="M62" s="368"/>
    </row>
    <row r="63" spans="2:13" ht="15.75" thickBot="1">
      <c r="B63" s="9">
        <v>1</v>
      </c>
      <c r="C63" s="9" t="str">
        <f>'2.Capex Details'!C6</f>
        <v>Construction of Cleaning &amp; Grading Unit</v>
      </c>
      <c r="D63" s="9">
        <v>1</v>
      </c>
      <c r="E63" s="20">
        <f>'2.Capex Details'!G6</f>
        <v>1500000</v>
      </c>
      <c r="F63" s="20">
        <f>D63*E63</f>
        <v>1500000</v>
      </c>
      <c r="G63" s="427">
        <f>F70/$F$76</f>
        <v>0.98973405576452844</v>
      </c>
      <c r="K63" s="367"/>
      <c r="L63" s="366"/>
      <c r="M63" s="368"/>
    </row>
    <row r="64" spans="2:13" ht="15.75" thickBot="1">
      <c r="B64" s="9">
        <v>2</v>
      </c>
      <c r="C64" s="9" t="str">
        <f>'2.Capex Details'!C7</f>
        <v xml:space="preserve">Construction of Flour Mill </v>
      </c>
      <c r="D64" s="9">
        <v>1</v>
      </c>
      <c r="E64" s="20">
        <f>'2.Capex Details'!G7</f>
        <v>894500</v>
      </c>
      <c r="F64" s="20">
        <f>D64*E64</f>
        <v>894500</v>
      </c>
      <c r="G64" s="428"/>
      <c r="K64" s="367"/>
      <c r="L64" s="366"/>
      <c r="M64" s="368"/>
    </row>
    <row r="65" spans="2:13" ht="15.75" thickBot="1">
      <c r="B65" s="9">
        <v>3</v>
      </c>
      <c r="C65" s="9" t="str">
        <f>'2.Capex Details'!C8</f>
        <v>Construction of Warehouse</v>
      </c>
      <c r="D65" s="9">
        <v>1</v>
      </c>
      <c r="E65" s="20">
        <f>'2.Capex Details'!G8</f>
        <v>11521000</v>
      </c>
      <c r="F65" s="20">
        <f t="shared" ref="F65:F69" si="0">D65*E65</f>
        <v>11521000</v>
      </c>
      <c r="G65" s="428"/>
      <c r="K65" s="367"/>
      <c r="L65" s="366"/>
      <c r="M65" s="368"/>
    </row>
    <row r="66" spans="2:13" ht="15.75" thickBot="1">
      <c r="B66" s="9">
        <v>4</v>
      </c>
      <c r="C66" s="9" t="str">
        <f>'2.Capex Details'!C20</f>
        <v xml:space="preserve">Cleaning &amp; Grading </v>
      </c>
      <c r="D66" s="9">
        <v>1</v>
      </c>
      <c r="E66" s="20">
        <f>'2.Capex Details'!G46</f>
        <v>5246488.1400000006</v>
      </c>
      <c r="F66" s="20">
        <f t="shared" si="0"/>
        <v>5246488.1400000006</v>
      </c>
      <c r="G66" s="428"/>
      <c r="K66" s="367"/>
      <c r="L66" s="366"/>
      <c r="M66" s="368"/>
    </row>
    <row r="67" spans="2:13" ht="15.75" thickBot="1">
      <c r="B67" s="9">
        <v>5</v>
      </c>
      <c r="C67" s="9" t="str">
        <f>'2.Capex Details'!C48</f>
        <v>Flour Mill</v>
      </c>
      <c r="D67" s="9">
        <v>1</v>
      </c>
      <c r="E67" s="20">
        <f>'2.Capex Details'!G70</f>
        <v>1386500</v>
      </c>
      <c r="F67" s="20">
        <f t="shared" si="0"/>
        <v>1386500</v>
      </c>
      <c r="G67" s="428"/>
      <c r="K67" s="367"/>
      <c r="L67" s="366"/>
      <c r="M67" s="368"/>
    </row>
    <row r="68" spans="2:13" ht="15.75" thickBot="1">
      <c r="B68" s="9">
        <v>6</v>
      </c>
      <c r="C68" s="9" t="str">
        <f>'2.Capex Details'!C72</f>
        <v>Electricity Connection</v>
      </c>
      <c r="D68" s="9">
        <v>1</v>
      </c>
      <c r="E68" s="20">
        <f>'2.Capex Details'!G75</f>
        <v>364111.1</v>
      </c>
      <c r="F68" s="20">
        <f t="shared" si="0"/>
        <v>364111.1</v>
      </c>
      <c r="G68" s="428"/>
      <c r="K68" s="367"/>
      <c r="L68" s="366"/>
      <c r="M68" s="368"/>
    </row>
    <row r="69" spans="2:13" ht="15.75" thickBot="1">
      <c r="B69" s="9"/>
      <c r="C69" s="9" t="str">
        <f>'2.Capex Details'!C77</f>
        <v>Solar</v>
      </c>
      <c r="D69" s="9">
        <v>1</v>
      </c>
      <c r="E69" s="20">
        <f>'2.Capex Details'!G80</f>
        <v>5600000</v>
      </c>
      <c r="F69" s="20">
        <f t="shared" si="0"/>
        <v>5600000</v>
      </c>
      <c r="G69" s="381"/>
      <c r="K69" s="367"/>
      <c r="L69" s="366"/>
      <c r="M69" s="368"/>
    </row>
    <row r="70" spans="2:13" ht="15.75" thickBot="1">
      <c r="B70" s="425" t="s">
        <v>170</v>
      </c>
      <c r="C70" s="425"/>
      <c r="D70" s="425"/>
      <c r="E70" s="425"/>
      <c r="F70" s="20">
        <f>SUM(F63:F69)</f>
        <v>26512599.240000002</v>
      </c>
      <c r="G70" s="381"/>
      <c r="K70" s="367"/>
      <c r="L70" s="366"/>
      <c r="M70" s="368"/>
    </row>
    <row r="71" spans="2:13" ht="15.75" thickBot="1">
      <c r="B71" s="9" t="s">
        <v>174</v>
      </c>
      <c r="C71" s="9" t="s">
        <v>702</v>
      </c>
      <c r="D71" s="9"/>
      <c r="E71" s="9"/>
      <c r="F71" s="9"/>
      <c r="G71" s="382"/>
      <c r="K71" s="367"/>
      <c r="L71" s="366"/>
      <c r="M71" s="368"/>
    </row>
    <row r="72" spans="2:13" ht="15.75" thickBot="1">
      <c r="B72" s="9">
        <v>1</v>
      </c>
      <c r="C72" s="9" t="s">
        <v>323</v>
      </c>
      <c r="D72" s="9">
        <v>1</v>
      </c>
      <c r="E72" s="20">
        <f>'2.Capex Details'!F109</f>
        <v>0</v>
      </c>
      <c r="F72" s="20">
        <f>D72*E72</f>
        <v>0</v>
      </c>
      <c r="G72" s="426">
        <f>F75/$F$76</f>
        <v>1.0265944235471546E-2</v>
      </c>
      <c r="K72" s="367"/>
      <c r="L72" s="366"/>
      <c r="M72" s="368"/>
    </row>
    <row r="73" spans="2:13" ht="15.75" thickBot="1">
      <c r="B73" s="9">
        <v>2</v>
      </c>
      <c r="C73" s="9" t="s">
        <v>703</v>
      </c>
      <c r="D73" s="9">
        <v>1</v>
      </c>
      <c r="E73" s="20">
        <f>'2.Capex Details'!F143</f>
        <v>140000</v>
      </c>
      <c r="F73" s="20">
        <f t="shared" ref="F73:F74" si="1">D73*E73</f>
        <v>140000</v>
      </c>
      <c r="G73" s="426"/>
      <c r="K73" s="367"/>
      <c r="L73" s="366"/>
      <c r="M73" s="368"/>
    </row>
    <row r="74" spans="2:13" ht="15.75" thickBot="1">
      <c r="B74" s="9">
        <v>3</v>
      </c>
      <c r="C74" s="9" t="s">
        <v>704</v>
      </c>
      <c r="D74" s="9">
        <v>1</v>
      </c>
      <c r="E74" s="20">
        <f>'2.Capex Details'!D182</f>
        <v>135000</v>
      </c>
      <c r="F74" s="20">
        <f t="shared" si="1"/>
        <v>135000</v>
      </c>
      <c r="G74" s="426"/>
      <c r="K74" s="367">
        <v>11</v>
      </c>
      <c r="L74" s="366" t="s">
        <v>735</v>
      </c>
      <c r="M74" s="368" t="s">
        <v>734</v>
      </c>
    </row>
    <row r="75" spans="2:13" ht="15.75" thickBot="1">
      <c r="B75" s="425" t="s">
        <v>170</v>
      </c>
      <c r="C75" s="425"/>
      <c r="D75" s="425"/>
      <c r="E75" s="425"/>
      <c r="F75" s="20">
        <f>SUM(F72:F74)</f>
        <v>275000</v>
      </c>
      <c r="G75" s="426"/>
      <c r="K75" s="369" t="s">
        <v>700</v>
      </c>
      <c r="L75" s="370" t="s">
        <v>736</v>
      </c>
      <c r="M75" s="371"/>
    </row>
    <row r="76" spans="2:13" ht="15.75" thickBot="1">
      <c r="B76" s="425" t="s">
        <v>705</v>
      </c>
      <c r="C76" s="425"/>
      <c r="D76" s="9"/>
      <c r="E76" s="9"/>
      <c r="F76" s="20">
        <f>F75+F70+F61</f>
        <v>26787599.240000002</v>
      </c>
      <c r="G76" s="383">
        <v>1</v>
      </c>
      <c r="K76" s="367">
        <v>1</v>
      </c>
      <c r="L76" s="366" t="str">
        <f>C63</f>
        <v>Construction of Cleaning &amp; Grading Unit</v>
      </c>
      <c r="M76" s="368" t="s">
        <v>738</v>
      </c>
    </row>
    <row r="77" spans="2:13" ht="15.75" thickBot="1">
      <c r="B77" t="s">
        <v>706</v>
      </c>
      <c r="F77">
        <f>'1.Project Cost and MOF'!E22</f>
        <v>27504655.640284203</v>
      </c>
      <c r="K77" s="367">
        <v>2</v>
      </c>
      <c r="L77" s="366" t="str">
        <f>C64</f>
        <v xml:space="preserve">Construction of Flour Mill </v>
      </c>
      <c r="M77" s="372" t="s">
        <v>740</v>
      </c>
    </row>
    <row r="78" spans="2:13" ht="15.75" thickBot="1">
      <c r="F78" s="52">
        <f>F77-F76</f>
        <v>717056.40028420091</v>
      </c>
      <c r="K78" s="367">
        <v>3</v>
      </c>
      <c r="L78" s="366" t="str">
        <f>C65</f>
        <v>Construction of Warehouse</v>
      </c>
      <c r="M78" s="372" t="s">
        <v>740</v>
      </c>
    </row>
    <row r="79" spans="2:13" ht="15.75" thickBot="1">
      <c r="K79" s="367">
        <v>4</v>
      </c>
      <c r="L79" s="366" t="s">
        <v>737</v>
      </c>
      <c r="M79" s="372" t="s">
        <v>740</v>
      </c>
    </row>
    <row r="80" spans="2:13" ht="15.75" thickBot="1">
      <c r="K80" s="369" t="s">
        <v>174</v>
      </c>
      <c r="L80" s="370" t="s">
        <v>702</v>
      </c>
      <c r="M80" s="371"/>
    </row>
    <row r="81" spans="11:13" ht="15.75" thickBot="1">
      <c r="K81" s="367">
        <v>1</v>
      </c>
      <c r="L81" s="366" t="s">
        <v>323</v>
      </c>
      <c r="M81" s="368" t="s">
        <v>738</v>
      </c>
    </row>
    <row r="82" spans="11:13" ht="15.75" thickBot="1">
      <c r="K82" s="367">
        <v>2</v>
      </c>
      <c r="L82" s="366" t="s">
        <v>739</v>
      </c>
      <c r="M82" s="368" t="s">
        <v>738</v>
      </c>
    </row>
    <row r="83" spans="11:13" ht="15.75" thickBot="1">
      <c r="K83" s="367">
        <v>3</v>
      </c>
      <c r="L83" s="366" t="s">
        <v>704</v>
      </c>
      <c r="M83" s="368" t="s">
        <v>738</v>
      </c>
    </row>
  </sheetData>
  <mergeCells count="6">
    <mergeCell ref="B61:E61"/>
    <mergeCell ref="B70:E70"/>
    <mergeCell ref="B75:E75"/>
    <mergeCell ref="B76:C76"/>
    <mergeCell ref="G72:G75"/>
    <mergeCell ref="G63:G6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80"/>
  <sheetViews>
    <sheetView view="pageBreakPreview" topLeftCell="A52" zoomScale="80" zoomScaleSheetLayoutView="80" workbookViewId="0">
      <selection activeCell="C90" sqref="C90"/>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04" t="s">
        <v>543</v>
      </c>
      <c r="B2" s="404"/>
      <c r="C2" s="404"/>
      <c r="D2" s="404"/>
      <c r="E2" s="404"/>
      <c r="F2" s="404"/>
      <c r="G2" s="429"/>
    </row>
    <row r="3" spans="1:7">
      <c r="B3" s="13"/>
      <c r="C3" s="13"/>
      <c r="D3" s="13"/>
      <c r="E3" s="13"/>
      <c r="F3" s="13"/>
      <c r="G3" s="13"/>
    </row>
    <row r="4" spans="1:7">
      <c r="A4" s="72"/>
      <c r="B4" s="72"/>
      <c r="C4" s="72" t="s">
        <v>453</v>
      </c>
      <c r="D4" s="88">
        <f>'1.Project Cost and MOF'!E20</f>
        <v>8036279.7720000008</v>
      </c>
      <c r="E4" s="72"/>
      <c r="F4" s="72"/>
      <c r="G4" s="72"/>
    </row>
    <row r="5" spans="1:7">
      <c r="A5" s="72"/>
      <c r="B5" s="72"/>
      <c r="C5" s="72" t="s">
        <v>454</v>
      </c>
      <c r="D5" s="231">
        <v>0.12</v>
      </c>
      <c r="E5" s="72"/>
      <c r="F5" s="72"/>
      <c r="G5" s="72"/>
    </row>
    <row r="6" spans="1:7">
      <c r="A6" s="72"/>
      <c r="B6" s="72"/>
      <c r="C6" s="72" t="s">
        <v>455</v>
      </c>
      <c r="D6" s="232">
        <v>5</v>
      </c>
      <c r="E6" s="72"/>
      <c r="F6" s="72"/>
      <c r="G6" s="72"/>
    </row>
    <row r="7" spans="1:7">
      <c r="A7" s="72"/>
      <c r="B7" s="72"/>
      <c r="C7" s="72" t="s">
        <v>456</v>
      </c>
      <c r="D7" s="232">
        <v>6</v>
      </c>
      <c r="E7" s="72"/>
      <c r="F7" s="72"/>
      <c r="G7" s="72"/>
    </row>
    <row r="8" spans="1:7">
      <c r="A8" s="72"/>
      <c r="B8" s="72"/>
      <c r="C8" s="72" t="s">
        <v>22</v>
      </c>
      <c r="D8" s="175">
        <f>PMT(D5/12,(D6-(D7/12))*12,-D4)</f>
        <v>193325.42794010785</v>
      </c>
      <c r="E8" s="175"/>
      <c r="F8" s="221"/>
      <c r="G8" s="72"/>
    </row>
    <row r="9" spans="1:7">
      <c r="A9" s="124" t="s">
        <v>286</v>
      </c>
      <c r="B9" s="176" t="s">
        <v>18</v>
      </c>
      <c r="C9" s="177" t="s">
        <v>19</v>
      </c>
      <c r="D9" s="177" t="s">
        <v>20</v>
      </c>
      <c r="E9" s="177" t="s">
        <v>21</v>
      </c>
      <c r="F9" s="177" t="s">
        <v>22</v>
      </c>
      <c r="G9" s="177" t="s">
        <v>23</v>
      </c>
    </row>
    <row r="10" spans="1:7">
      <c r="A10" s="73" t="s">
        <v>11</v>
      </c>
      <c r="B10" s="73" t="s">
        <v>52</v>
      </c>
      <c r="C10" s="74">
        <f>D4</f>
        <v>8036279.7720000008</v>
      </c>
      <c r="D10" s="74">
        <f t="shared" ref="D10:D41" si="0">C10*$D$5/12</f>
        <v>80362.797720000002</v>
      </c>
      <c r="E10" s="74">
        <f t="shared" ref="E10:E15" si="1">F10-D10</f>
        <v>0</v>
      </c>
      <c r="F10" s="74">
        <f>D10</f>
        <v>80362.797720000002</v>
      </c>
      <c r="G10" s="74">
        <f>C10-E10</f>
        <v>8036279.7720000008</v>
      </c>
    </row>
    <row r="11" spans="1:7">
      <c r="A11" s="73"/>
      <c r="B11" s="73" t="s">
        <v>53</v>
      </c>
      <c r="C11" s="74">
        <f>G10</f>
        <v>8036279.7720000008</v>
      </c>
      <c r="D11" s="74">
        <f t="shared" si="0"/>
        <v>80362.797720000002</v>
      </c>
      <c r="E11" s="74">
        <f t="shared" si="1"/>
        <v>0</v>
      </c>
      <c r="F11" s="74">
        <f t="shared" ref="F11:F15" si="2">D11</f>
        <v>80362.797720000002</v>
      </c>
      <c r="G11" s="74">
        <f t="shared" ref="G11:G69" si="3">C11-E11</f>
        <v>8036279.7720000008</v>
      </c>
    </row>
    <row r="12" spans="1:7">
      <c r="A12" s="73"/>
      <c r="B12" s="73" t="s">
        <v>54</v>
      </c>
      <c r="C12" s="74">
        <f t="shared" ref="C12:C69" si="4">G11</f>
        <v>8036279.7720000008</v>
      </c>
      <c r="D12" s="74">
        <f t="shared" si="0"/>
        <v>80362.797720000002</v>
      </c>
      <c r="E12" s="74">
        <f t="shared" si="1"/>
        <v>0</v>
      </c>
      <c r="F12" s="74">
        <f t="shared" si="2"/>
        <v>80362.797720000002</v>
      </c>
      <c r="G12" s="74">
        <f t="shared" si="3"/>
        <v>8036279.7720000008</v>
      </c>
    </row>
    <row r="13" spans="1:7">
      <c r="A13" s="73"/>
      <c r="B13" s="73" t="s">
        <v>55</v>
      </c>
      <c r="C13" s="74">
        <f t="shared" si="4"/>
        <v>8036279.7720000008</v>
      </c>
      <c r="D13" s="74">
        <f t="shared" si="0"/>
        <v>80362.797720000002</v>
      </c>
      <c r="E13" s="74">
        <f t="shared" si="1"/>
        <v>0</v>
      </c>
      <c r="F13" s="74">
        <f t="shared" si="2"/>
        <v>80362.797720000002</v>
      </c>
      <c r="G13" s="74">
        <f t="shared" si="3"/>
        <v>8036279.7720000008</v>
      </c>
    </row>
    <row r="14" spans="1:7">
      <c r="A14" s="73"/>
      <c r="B14" s="73" t="s">
        <v>56</v>
      </c>
      <c r="C14" s="74">
        <f t="shared" si="4"/>
        <v>8036279.7720000008</v>
      </c>
      <c r="D14" s="74">
        <f t="shared" si="0"/>
        <v>80362.797720000002</v>
      </c>
      <c r="E14" s="74">
        <f t="shared" si="1"/>
        <v>0</v>
      </c>
      <c r="F14" s="74">
        <f t="shared" si="2"/>
        <v>80362.797720000002</v>
      </c>
      <c r="G14" s="74">
        <f t="shared" si="3"/>
        <v>8036279.7720000008</v>
      </c>
    </row>
    <row r="15" spans="1:7">
      <c r="A15" s="73"/>
      <c r="B15" s="73" t="s">
        <v>57</v>
      </c>
      <c r="C15" s="74">
        <f t="shared" si="4"/>
        <v>8036279.7720000008</v>
      </c>
      <c r="D15" s="74">
        <f t="shared" si="0"/>
        <v>80362.797720000002</v>
      </c>
      <c r="E15" s="74">
        <f t="shared" si="1"/>
        <v>0</v>
      </c>
      <c r="F15" s="74">
        <f t="shared" si="2"/>
        <v>80362.797720000002</v>
      </c>
      <c r="G15" s="74">
        <f t="shared" si="3"/>
        <v>8036279.7720000008</v>
      </c>
    </row>
    <row r="16" spans="1:7">
      <c r="A16" s="73"/>
      <c r="B16" s="73" t="s">
        <v>58</v>
      </c>
      <c r="C16" s="74">
        <f t="shared" si="4"/>
        <v>8036279.7720000008</v>
      </c>
      <c r="D16" s="74">
        <f t="shared" si="0"/>
        <v>80362.797720000002</v>
      </c>
      <c r="E16" s="74">
        <f>F16-D16</f>
        <v>112962.63022010785</v>
      </c>
      <c r="F16" s="74">
        <f t="shared" ref="F16:F69" si="5">$D$8</f>
        <v>193325.42794010785</v>
      </c>
      <c r="G16" s="74">
        <f t="shared" si="3"/>
        <v>7923317.1417798931</v>
      </c>
    </row>
    <row r="17" spans="1:9">
      <c r="A17" s="73"/>
      <c r="B17" s="73" t="s">
        <v>59</v>
      </c>
      <c r="C17" s="74">
        <f t="shared" si="4"/>
        <v>7923317.1417798931</v>
      </c>
      <c r="D17" s="74">
        <f t="shared" si="0"/>
        <v>79233.17141779892</v>
      </c>
      <c r="E17" s="74">
        <f t="shared" ref="E17:E69" si="6">F17-D17</f>
        <v>114092.25652230893</v>
      </c>
      <c r="F17" s="74">
        <f t="shared" si="5"/>
        <v>193325.42794010785</v>
      </c>
      <c r="G17" s="74">
        <f t="shared" si="3"/>
        <v>7809224.885257584</v>
      </c>
    </row>
    <row r="18" spans="1:9">
      <c r="A18" s="73"/>
      <c r="B18" s="73" t="s">
        <v>60</v>
      </c>
      <c r="C18" s="74">
        <f t="shared" si="4"/>
        <v>7809224.885257584</v>
      </c>
      <c r="D18" s="74">
        <f t="shared" si="0"/>
        <v>78092.248852575838</v>
      </c>
      <c r="E18" s="74">
        <f t="shared" si="6"/>
        <v>115233.17908753201</v>
      </c>
      <c r="F18" s="74">
        <f t="shared" si="5"/>
        <v>193325.42794010785</v>
      </c>
      <c r="G18" s="74">
        <f t="shared" si="3"/>
        <v>7693991.7061700523</v>
      </c>
    </row>
    <row r="19" spans="1:9">
      <c r="A19" s="73"/>
      <c r="B19" s="73" t="s">
        <v>61</v>
      </c>
      <c r="C19" s="74">
        <f t="shared" si="4"/>
        <v>7693991.7061700523</v>
      </c>
      <c r="D19" s="74">
        <f t="shared" si="0"/>
        <v>76939.917061700529</v>
      </c>
      <c r="E19" s="74">
        <f t="shared" si="6"/>
        <v>116385.51087840732</v>
      </c>
      <c r="F19" s="74">
        <f t="shared" si="5"/>
        <v>193325.42794010785</v>
      </c>
      <c r="G19" s="74">
        <f t="shared" si="3"/>
        <v>7577606.1952916449</v>
      </c>
    </row>
    <row r="20" spans="1:9">
      <c r="A20" s="73"/>
      <c r="B20" s="73" t="s">
        <v>62</v>
      </c>
      <c r="C20" s="74">
        <f t="shared" si="4"/>
        <v>7577606.1952916449</v>
      </c>
      <c r="D20" s="74">
        <f t="shared" si="0"/>
        <v>75776.061952916454</v>
      </c>
      <c r="E20" s="74">
        <f t="shared" si="6"/>
        <v>117549.3659871914</v>
      </c>
      <c r="F20" s="74">
        <f t="shared" si="5"/>
        <v>193325.42794010785</v>
      </c>
      <c r="G20" s="74">
        <f t="shared" si="3"/>
        <v>7460056.8293044539</v>
      </c>
    </row>
    <row r="21" spans="1:9">
      <c r="A21" s="73"/>
      <c r="B21" s="73" t="s">
        <v>63</v>
      </c>
      <c r="C21" s="74">
        <f t="shared" si="4"/>
        <v>7460056.8293044539</v>
      </c>
      <c r="D21" s="74">
        <f t="shared" si="0"/>
        <v>74600.568293044533</v>
      </c>
      <c r="E21" s="74">
        <f t="shared" si="6"/>
        <v>118724.85964706332</v>
      </c>
      <c r="F21" s="74">
        <f t="shared" si="5"/>
        <v>193325.42794010785</v>
      </c>
      <c r="G21" s="74">
        <f t="shared" si="3"/>
        <v>7341331.9696573904</v>
      </c>
      <c r="H21" s="1"/>
      <c r="I21" s="1"/>
    </row>
    <row r="22" spans="1:9">
      <c r="A22" s="73" t="s">
        <v>12</v>
      </c>
      <c r="B22" s="73" t="s">
        <v>64</v>
      </c>
      <c r="C22" s="74">
        <f t="shared" si="4"/>
        <v>7341331.9696573904</v>
      </c>
      <c r="D22" s="74">
        <f t="shared" si="0"/>
        <v>73413.319696573904</v>
      </c>
      <c r="E22" s="74">
        <f t="shared" si="6"/>
        <v>119912.10824353395</v>
      </c>
      <c r="F22" s="74">
        <f t="shared" si="5"/>
        <v>193325.42794010785</v>
      </c>
      <c r="G22" s="74">
        <f t="shared" si="3"/>
        <v>7221419.861413856</v>
      </c>
    </row>
    <row r="23" spans="1:9">
      <c r="A23" s="73"/>
      <c r="B23" s="73" t="s">
        <v>65</v>
      </c>
      <c r="C23" s="74">
        <f t="shared" si="4"/>
        <v>7221419.861413856</v>
      </c>
      <c r="D23" s="74">
        <f t="shared" si="0"/>
        <v>72214.198614138557</v>
      </c>
      <c r="E23" s="74">
        <f t="shared" si="6"/>
        <v>121111.2293259693</v>
      </c>
      <c r="F23" s="74">
        <f t="shared" si="5"/>
        <v>193325.42794010785</v>
      </c>
      <c r="G23" s="74">
        <f t="shared" si="3"/>
        <v>7100308.6320878863</v>
      </c>
    </row>
    <row r="24" spans="1:9">
      <c r="A24" s="73"/>
      <c r="B24" s="73" t="s">
        <v>66</v>
      </c>
      <c r="C24" s="74">
        <f t="shared" si="4"/>
        <v>7100308.6320878863</v>
      </c>
      <c r="D24" s="74">
        <f t="shared" si="0"/>
        <v>71003.086320878865</v>
      </c>
      <c r="E24" s="74">
        <f t="shared" si="6"/>
        <v>122322.34161922899</v>
      </c>
      <c r="F24" s="74">
        <f t="shared" si="5"/>
        <v>193325.42794010785</v>
      </c>
      <c r="G24" s="74">
        <f t="shared" si="3"/>
        <v>6977986.2904686574</v>
      </c>
    </row>
    <row r="25" spans="1:9">
      <c r="A25" s="73"/>
      <c r="B25" s="73" t="s">
        <v>67</v>
      </c>
      <c r="C25" s="74">
        <f t="shared" si="4"/>
        <v>6977986.2904686574</v>
      </c>
      <c r="D25" s="74">
        <f t="shared" si="0"/>
        <v>69779.862904686568</v>
      </c>
      <c r="E25" s="74">
        <f t="shared" si="6"/>
        <v>123545.56503542128</v>
      </c>
      <c r="F25" s="74">
        <f t="shared" si="5"/>
        <v>193325.42794010785</v>
      </c>
      <c r="G25" s="74">
        <f t="shared" si="3"/>
        <v>6854440.725433236</v>
      </c>
    </row>
    <row r="26" spans="1:9">
      <c r="A26" s="73"/>
      <c r="B26" s="73" t="s">
        <v>68</v>
      </c>
      <c r="C26" s="74">
        <f t="shared" si="4"/>
        <v>6854440.725433236</v>
      </c>
      <c r="D26" s="74">
        <f t="shared" si="0"/>
        <v>68544.407254332356</v>
      </c>
      <c r="E26" s="74">
        <f t="shared" si="6"/>
        <v>124781.0206857755</v>
      </c>
      <c r="F26" s="74">
        <f t="shared" si="5"/>
        <v>193325.42794010785</v>
      </c>
      <c r="G26" s="74">
        <f t="shared" si="3"/>
        <v>6729659.7047474608</v>
      </c>
    </row>
    <row r="27" spans="1:9">
      <c r="A27" s="73"/>
      <c r="B27" s="73" t="s">
        <v>69</v>
      </c>
      <c r="C27" s="74">
        <f t="shared" si="4"/>
        <v>6729659.7047474608</v>
      </c>
      <c r="D27" s="74">
        <f t="shared" si="0"/>
        <v>67296.597047474599</v>
      </c>
      <c r="E27" s="74">
        <f t="shared" si="6"/>
        <v>126028.83089263325</v>
      </c>
      <c r="F27" s="74">
        <f t="shared" si="5"/>
        <v>193325.42794010785</v>
      </c>
      <c r="G27" s="74">
        <f t="shared" si="3"/>
        <v>6603630.8738548271</v>
      </c>
    </row>
    <row r="28" spans="1:9">
      <c r="A28" s="73"/>
      <c r="B28" s="73" t="s">
        <v>70</v>
      </c>
      <c r="C28" s="74">
        <f t="shared" si="4"/>
        <v>6603630.8738548271</v>
      </c>
      <c r="D28" s="74">
        <f t="shared" si="0"/>
        <v>66036.308738548265</v>
      </c>
      <c r="E28" s="74">
        <f t="shared" si="6"/>
        <v>127289.11920155959</v>
      </c>
      <c r="F28" s="74">
        <f t="shared" si="5"/>
        <v>193325.42794010785</v>
      </c>
      <c r="G28" s="74">
        <f t="shared" si="3"/>
        <v>6476341.7546532676</v>
      </c>
    </row>
    <row r="29" spans="1:9">
      <c r="A29" s="73"/>
      <c r="B29" s="73" t="s">
        <v>71</v>
      </c>
      <c r="C29" s="74">
        <f t="shared" si="4"/>
        <v>6476341.7546532676</v>
      </c>
      <c r="D29" s="74">
        <f t="shared" si="0"/>
        <v>64763.41754653267</v>
      </c>
      <c r="E29" s="74">
        <f t="shared" si="6"/>
        <v>128562.01039357518</v>
      </c>
      <c r="F29" s="74">
        <f t="shared" si="5"/>
        <v>193325.42794010785</v>
      </c>
      <c r="G29" s="74">
        <f t="shared" si="3"/>
        <v>6347779.7442596927</v>
      </c>
    </row>
    <row r="30" spans="1:9">
      <c r="A30" s="73"/>
      <c r="B30" s="73" t="s">
        <v>72</v>
      </c>
      <c r="C30" s="74">
        <f t="shared" si="4"/>
        <v>6347779.7442596927</v>
      </c>
      <c r="D30" s="74">
        <f t="shared" si="0"/>
        <v>63477.79744259693</v>
      </c>
      <c r="E30" s="74">
        <f t="shared" si="6"/>
        <v>129847.63049751092</v>
      </c>
      <c r="F30" s="74">
        <f t="shared" si="5"/>
        <v>193325.42794010785</v>
      </c>
      <c r="G30" s="74">
        <f t="shared" si="3"/>
        <v>6217932.1137621822</v>
      </c>
    </row>
    <row r="31" spans="1:9">
      <c r="A31" s="73"/>
      <c r="B31" s="73" t="s">
        <v>73</v>
      </c>
      <c r="C31" s="74">
        <f t="shared" si="4"/>
        <v>6217932.1137621822</v>
      </c>
      <c r="D31" s="74">
        <f t="shared" si="0"/>
        <v>62179.321137621824</v>
      </c>
      <c r="E31" s="74">
        <f t="shared" si="6"/>
        <v>131146.10680248603</v>
      </c>
      <c r="F31" s="74">
        <f t="shared" si="5"/>
        <v>193325.42794010785</v>
      </c>
      <c r="G31" s="74">
        <f t="shared" si="3"/>
        <v>6086786.0069596963</v>
      </c>
    </row>
    <row r="32" spans="1:9">
      <c r="A32" s="73"/>
      <c r="B32" s="73" t="s">
        <v>74</v>
      </c>
      <c r="C32" s="74">
        <f t="shared" si="4"/>
        <v>6086786.0069596963</v>
      </c>
      <c r="D32" s="74">
        <f t="shared" si="0"/>
        <v>60867.860069596965</v>
      </c>
      <c r="E32" s="74">
        <f t="shared" si="6"/>
        <v>132457.56787051089</v>
      </c>
      <c r="F32" s="74">
        <f t="shared" si="5"/>
        <v>193325.42794010785</v>
      </c>
      <c r="G32" s="74">
        <f t="shared" si="3"/>
        <v>5954328.4390891856</v>
      </c>
    </row>
    <row r="33" spans="1:9">
      <c r="A33" s="73"/>
      <c r="B33" s="73" t="s">
        <v>75</v>
      </c>
      <c r="C33" s="74">
        <f t="shared" si="4"/>
        <v>5954328.4390891856</v>
      </c>
      <c r="D33" s="74">
        <f t="shared" si="0"/>
        <v>59543.284390891851</v>
      </c>
      <c r="E33" s="74">
        <f t="shared" si="6"/>
        <v>133782.14354921601</v>
      </c>
      <c r="F33" s="74">
        <f t="shared" si="5"/>
        <v>193325.42794010785</v>
      </c>
      <c r="G33" s="74">
        <f t="shared" si="3"/>
        <v>5820546.2955399696</v>
      </c>
      <c r="H33" s="1"/>
      <c r="I33" s="1"/>
    </row>
    <row r="34" spans="1:9">
      <c r="A34" s="73" t="s">
        <v>13</v>
      </c>
      <c r="B34" s="73" t="s">
        <v>76</v>
      </c>
      <c r="C34" s="74">
        <f t="shared" si="4"/>
        <v>5820546.2955399696</v>
      </c>
      <c r="D34" s="74">
        <f t="shared" si="0"/>
        <v>58205.4629553997</v>
      </c>
      <c r="E34" s="74">
        <f t="shared" si="6"/>
        <v>135119.96498470815</v>
      </c>
      <c r="F34" s="74">
        <f t="shared" si="5"/>
        <v>193325.42794010785</v>
      </c>
      <c r="G34" s="74">
        <f t="shared" si="3"/>
        <v>5685426.3305552611</v>
      </c>
    </row>
    <row r="35" spans="1:9">
      <c r="A35" s="73"/>
      <c r="B35" s="73" t="s">
        <v>77</v>
      </c>
      <c r="C35" s="74">
        <f t="shared" si="4"/>
        <v>5685426.3305552611</v>
      </c>
      <c r="D35" s="74">
        <f t="shared" si="0"/>
        <v>56854.263305552602</v>
      </c>
      <c r="E35" s="74">
        <f t="shared" si="6"/>
        <v>136471.16463455526</v>
      </c>
      <c r="F35" s="74">
        <f t="shared" si="5"/>
        <v>193325.42794010785</v>
      </c>
      <c r="G35" s="74">
        <f t="shared" si="3"/>
        <v>5548955.1659207055</v>
      </c>
    </row>
    <row r="36" spans="1:9">
      <c r="A36" s="73"/>
      <c r="B36" s="73" t="s">
        <v>78</v>
      </c>
      <c r="C36" s="74">
        <f t="shared" si="4"/>
        <v>5548955.1659207055</v>
      </c>
      <c r="D36" s="74">
        <f t="shared" si="0"/>
        <v>55489.551659207056</v>
      </c>
      <c r="E36" s="74">
        <f t="shared" si="6"/>
        <v>137835.87628090079</v>
      </c>
      <c r="F36" s="74">
        <f t="shared" si="5"/>
        <v>193325.42794010785</v>
      </c>
      <c r="G36" s="74">
        <f t="shared" si="3"/>
        <v>5411119.2896398045</v>
      </c>
    </row>
    <row r="37" spans="1:9">
      <c r="A37" s="73"/>
      <c r="B37" s="73" t="s">
        <v>79</v>
      </c>
      <c r="C37" s="74">
        <f t="shared" si="4"/>
        <v>5411119.2896398045</v>
      </c>
      <c r="D37" s="74">
        <f t="shared" si="0"/>
        <v>54111.192896398046</v>
      </c>
      <c r="E37" s="74">
        <f t="shared" si="6"/>
        <v>139214.23504370981</v>
      </c>
      <c r="F37" s="74">
        <f t="shared" si="5"/>
        <v>193325.42794010785</v>
      </c>
      <c r="G37" s="74">
        <f t="shared" si="3"/>
        <v>5271905.0545960944</v>
      </c>
    </row>
    <row r="38" spans="1:9">
      <c r="A38" s="73"/>
      <c r="B38" s="73" t="s">
        <v>80</v>
      </c>
      <c r="C38" s="74">
        <f t="shared" si="4"/>
        <v>5271905.0545960944</v>
      </c>
      <c r="D38" s="74">
        <f t="shared" si="0"/>
        <v>52719.050545960949</v>
      </c>
      <c r="E38" s="74">
        <f t="shared" si="6"/>
        <v>140606.3773941469</v>
      </c>
      <c r="F38" s="74">
        <f t="shared" si="5"/>
        <v>193325.42794010785</v>
      </c>
      <c r="G38" s="74">
        <f t="shared" si="3"/>
        <v>5131298.6772019472</v>
      </c>
    </row>
    <row r="39" spans="1:9">
      <c r="A39" s="73"/>
      <c r="B39" s="73" t="s">
        <v>81</v>
      </c>
      <c r="C39" s="74">
        <f t="shared" si="4"/>
        <v>5131298.6772019472</v>
      </c>
      <c r="D39" s="74">
        <f t="shared" si="0"/>
        <v>51312.986772019474</v>
      </c>
      <c r="E39" s="74">
        <f t="shared" si="6"/>
        <v>142012.44116808838</v>
      </c>
      <c r="F39" s="74">
        <f t="shared" si="5"/>
        <v>193325.42794010785</v>
      </c>
      <c r="G39" s="74">
        <f t="shared" si="3"/>
        <v>4989286.2360338587</v>
      </c>
    </row>
    <row r="40" spans="1:9">
      <c r="A40" s="73"/>
      <c r="B40" s="73" t="s">
        <v>82</v>
      </c>
      <c r="C40" s="74">
        <f t="shared" si="4"/>
        <v>4989286.2360338587</v>
      </c>
      <c r="D40" s="74">
        <f t="shared" si="0"/>
        <v>49892.862360338586</v>
      </c>
      <c r="E40" s="74">
        <f t="shared" si="6"/>
        <v>143432.56557976926</v>
      </c>
      <c r="F40" s="74">
        <f t="shared" si="5"/>
        <v>193325.42794010785</v>
      </c>
      <c r="G40" s="74">
        <f t="shared" si="3"/>
        <v>4845853.6704540895</v>
      </c>
    </row>
    <row r="41" spans="1:9">
      <c r="A41" s="73"/>
      <c r="B41" s="73" t="s">
        <v>83</v>
      </c>
      <c r="C41" s="74">
        <f t="shared" si="4"/>
        <v>4845853.6704540895</v>
      </c>
      <c r="D41" s="74">
        <f t="shared" si="0"/>
        <v>48458.536704540893</v>
      </c>
      <c r="E41" s="74">
        <f t="shared" si="6"/>
        <v>144866.89123556696</v>
      </c>
      <c r="F41" s="74">
        <f t="shared" si="5"/>
        <v>193325.42794010785</v>
      </c>
      <c r="G41" s="74">
        <f t="shared" si="3"/>
        <v>4700986.7792185228</v>
      </c>
    </row>
    <row r="42" spans="1:9">
      <c r="A42" s="73"/>
      <c r="B42" s="73" t="s">
        <v>84</v>
      </c>
      <c r="C42" s="74">
        <f t="shared" si="4"/>
        <v>4700986.7792185228</v>
      </c>
      <c r="D42" s="74">
        <f t="shared" ref="D42:D69" si="7">C42*$D$5/12</f>
        <v>47009.867792185229</v>
      </c>
      <c r="E42" s="74">
        <f t="shared" si="6"/>
        <v>146315.56014792263</v>
      </c>
      <c r="F42" s="74">
        <f t="shared" si="5"/>
        <v>193325.42794010785</v>
      </c>
      <c r="G42" s="74">
        <f t="shared" si="3"/>
        <v>4554671.2190706003</v>
      </c>
    </row>
    <row r="43" spans="1:9">
      <c r="A43" s="73"/>
      <c r="B43" s="73" t="s">
        <v>85</v>
      </c>
      <c r="C43" s="74">
        <f t="shared" si="4"/>
        <v>4554671.2190706003</v>
      </c>
      <c r="D43" s="74">
        <f t="shared" si="7"/>
        <v>45546.712190705999</v>
      </c>
      <c r="E43" s="74">
        <f t="shared" si="6"/>
        <v>147778.71574940186</v>
      </c>
      <c r="F43" s="74">
        <f t="shared" si="5"/>
        <v>193325.42794010785</v>
      </c>
      <c r="G43" s="74">
        <f t="shared" si="3"/>
        <v>4406892.5033211987</v>
      </c>
    </row>
    <row r="44" spans="1:9">
      <c r="A44" s="73"/>
      <c r="B44" s="73" t="s">
        <v>86</v>
      </c>
      <c r="C44" s="74">
        <f t="shared" si="4"/>
        <v>4406892.5033211987</v>
      </c>
      <c r="D44" s="74">
        <f t="shared" si="7"/>
        <v>44068.925033211992</v>
      </c>
      <c r="E44" s="74">
        <f t="shared" si="6"/>
        <v>149256.50290689585</v>
      </c>
      <c r="F44" s="74">
        <f t="shared" si="5"/>
        <v>193325.42794010785</v>
      </c>
      <c r="G44" s="74">
        <f t="shared" si="3"/>
        <v>4257636.0004143026</v>
      </c>
    </row>
    <row r="45" spans="1:9">
      <c r="A45" s="73"/>
      <c r="B45" s="73" t="s">
        <v>87</v>
      </c>
      <c r="C45" s="74">
        <f t="shared" si="4"/>
        <v>4257636.0004143026</v>
      </c>
      <c r="D45" s="74">
        <f t="shared" si="7"/>
        <v>42576.360004143025</v>
      </c>
      <c r="E45" s="74">
        <f t="shared" si="6"/>
        <v>150749.06793596482</v>
      </c>
      <c r="F45" s="74">
        <f t="shared" si="5"/>
        <v>193325.42794010785</v>
      </c>
      <c r="G45" s="74">
        <f t="shared" si="3"/>
        <v>4106886.9324783375</v>
      </c>
      <c r="H45" s="1"/>
      <c r="I45" s="1"/>
    </row>
    <row r="46" spans="1:9">
      <c r="A46" s="73" t="s">
        <v>14</v>
      </c>
      <c r="B46" s="73" t="s">
        <v>88</v>
      </c>
      <c r="C46" s="74">
        <f t="shared" si="4"/>
        <v>4106886.9324783375</v>
      </c>
      <c r="D46" s="74">
        <f t="shared" si="7"/>
        <v>41068.869324783373</v>
      </c>
      <c r="E46" s="74">
        <f t="shared" si="6"/>
        <v>152256.55861532449</v>
      </c>
      <c r="F46" s="74">
        <f t="shared" si="5"/>
        <v>193325.42794010785</v>
      </c>
      <c r="G46" s="74">
        <f t="shared" si="3"/>
        <v>3954630.373863013</v>
      </c>
    </row>
    <row r="47" spans="1:9">
      <c r="A47" s="73"/>
      <c r="B47" s="73" t="s">
        <v>89</v>
      </c>
      <c r="C47" s="74">
        <f t="shared" si="4"/>
        <v>3954630.373863013</v>
      </c>
      <c r="D47" s="74">
        <f t="shared" si="7"/>
        <v>39546.303738630129</v>
      </c>
      <c r="E47" s="74">
        <f t="shared" si="6"/>
        <v>153779.12420147774</v>
      </c>
      <c r="F47" s="74">
        <f t="shared" si="5"/>
        <v>193325.42794010785</v>
      </c>
      <c r="G47" s="74">
        <f t="shared" si="3"/>
        <v>3800851.249661535</v>
      </c>
    </row>
    <row r="48" spans="1:9">
      <c r="A48" s="73"/>
      <c r="B48" s="73" t="s">
        <v>90</v>
      </c>
      <c r="C48" s="74">
        <f t="shared" si="4"/>
        <v>3800851.249661535</v>
      </c>
      <c r="D48" s="74">
        <f t="shared" si="7"/>
        <v>38008.512496615345</v>
      </c>
      <c r="E48" s="74">
        <f t="shared" si="6"/>
        <v>155316.9154434925</v>
      </c>
      <c r="F48" s="74">
        <f t="shared" si="5"/>
        <v>193325.42794010785</v>
      </c>
      <c r="G48" s="74">
        <f t="shared" si="3"/>
        <v>3645534.3342180424</v>
      </c>
    </row>
    <row r="49" spans="1:9">
      <c r="A49" s="73"/>
      <c r="B49" s="73" t="s">
        <v>91</v>
      </c>
      <c r="C49" s="74">
        <f t="shared" si="4"/>
        <v>3645534.3342180424</v>
      </c>
      <c r="D49" s="74">
        <f t="shared" si="7"/>
        <v>36455.343342180422</v>
      </c>
      <c r="E49" s="74">
        <f t="shared" si="6"/>
        <v>156870.08459792743</v>
      </c>
      <c r="F49" s="74">
        <f t="shared" si="5"/>
        <v>193325.42794010785</v>
      </c>
      <c r="G49" s="74">
        <f t="shared" si="3"/>
        <v>3488664.2496201149</v>
      </c>
    </row>
    <row r="50" spans="1:9">
      <c r="A50" s="73"/>
      <c r="B50" s="73" t="s">
        <v>92</v>
      </c>
      <c r="C50" s="74">
        <f t="shared" si="4"/>
        <v>3488664.2496201149</v>
      </c>
      <c r="D50" s="74">
        <f t="shared" si="7"/>
        <v>34886.642496201144</v>
      </c>
      <c r="E50" s="74">
        <f t="shared" si="6"/>
        <v>158438.7854439067</v>
      </c>
      <c r="F50" s="74">
        <f t="shared" si="5"/>
        <v>193325.42794010785</v>
      </c>
      <c r="G50" s="74">
        <f t="shared" si="3"/>
        <v>3330225.4641762082</v>
      </c>
    </row>
    <row r="51" spans="1:9">
      <c r="A51" s="73"/>
      <c r="B51" s="73" t="s">
        <v>93</v>
      </c>
      <c r="C51" s="74">
        <f t="shared" si="4"/>
        <v>3330225.4641762082</v>
      </c>
      <c r="D51" s="74">
        <f t="shared" si="7"/>
        <v>33302.254641762083</v>
      </c>
      <c r="E51" s="74">
        <f t="shared" si="6"/>
        <v>160023.17329834576</v>
      </c>
      <c r="F51" s="74">
        <f t="shared" si="5"/>
        <v>193325.42794010785</v>
      </c>
      <c r="G51" s="74">
        <f t="shared" si="3"/>
        <v>3170202.2908778624</v>
      </c>
    </row>
    <row r="52" spans="1:9">
      <c r="A52" s="73"/>
      <c r="B52" s="73" t="s">
        <v>94</v>
      </c>
      <c r="C52" s="74">
        <f t="shared" si="4"/>
        <v>3170202.2908778624</v>
      </c>
      <c r="D52" s="74">
        <f t="shared" si="7"/>
        <v>31702.022908778625</v>
      </c>
      <c r="E52" s="74">
        <f t="shared" si="6"/>
        <v>161623.40503132922</v>
      </c>
      <c r="F52" s="74">
        <f t="shared" si="5"/>
        <v>193325.42794010785</v>
      </c>
      <c r="G52" s="74">
        <f t="shared" si="3"/>
        <v>3008578.8858465333</v>
      </c>
    </row>
    <row r="53" spans="1:9">
      <c r="A53" s="73"/>
      <c r="B53" s="73" t="s">
        <v>95</v>
      </c>
      <c r="C53" s="74">
        <f t="shared" si="4"/>
        <v>3008578.8858465333</v>
      </c>
      <c r="D53" s="74">
        <f t="shared" si="7"/>
        <v>30085.78885846533</v>
      </c>
      <c r="E53" s="74">
        <f t="shared" si="6"/>
        <v>163239.63908164253</v>
      </c>
      <c r="F53" s="74">
        <f t="shared" si="5"/>
        <v>193325.42794010785</v>
      </c>
      <c r="G53" s="74">
        <f t="shared" si="3"/>
        <v>2845339.2467648908</v>
      </c>
    </row>
    <row r="54" spans="1:9">
      <c r="A54" s="73"/>
      <c r="B54" s="73" t="s">
        <v>96</v>
      </c>
      <c r="C54" s="74">
        <f t="shared" si="4"/>
        <v>2845339.2467648908</v>
      </c>
      <c r="D54" s="74">
        <f t="shared" si="7"/>
        <v>28453.392467648908</v>
      </c>
      <c r="E54" s="74">
        <f t="shared" si="6"/>
        <v>164872.03547245896</v>
      </c>
      <c r="F54" s="74">
        <f t="shared" si="5"/>
        <v>193325.42794010785</v>
      </c>
      <c r="G54" s="74">
        <f t="shared" si="3"/>
        <v>2680467.2112924317</v>
      </c>
    </row>
    <row r="55" spans="1:9">
      <c r="A55" s="73"/>
      <c r="B55" s="73" t="s">
        <v>97</v>
      </c>
      <c r="C55" s="74">
        <f t="shared" si="4"/>
        <v>2680467.2112924317</v>
      </c>
      <c r="D55" s="74">
        <f t="shared" si="7"/>
        <v>26804.672112924312</v>
      </c>
      <c r="E55" s="74">
        <f t="shared" si="6"/>
        <v>166520.75582718354</v>
      </c>
      <c r="F55" s="74">
        <f t="shared" si="5"/>
        <v>193325.42794010785</v>
      </c>
      <c r="G55" s="74">
        <f t="shared" si="3"/>
        <v>2513946.4554652483</v>
      </c>
    </row>
    <row r="56" spans="1:9">
      <c r="A56" s="73"/>
      <c r="B56" s="73" t="s">
        <v>98</v>
      </c>
      <c r="C56" s="74">
        <f t="shared" si="4"/>
        <v>2513946.4554652483</v>
      </c>
      <c r="D56" s="74">
        <f t="shared" si="7"/>
        <v>25139.464554652484</v>
      </c>
      <c r="E56" s="74">
        <f t="shared" si="6"/>
        <v>168185.96338545537</v>
      </c>
      <c r="F56" s="74">
        <f t="shared" si="5"/>
        <v>193325.42794010785</v>
      </c>
      <c r="G56" s="74">
        <f t="shared" si="3"/>
        <v>2345760.492079793</v>
      </c>
    </row>
    <row r="57" spans="1:9">
      <c r="A57" s="73"/>
      <c r="B57" s="73" t="s">
        <v>99</v>
      </c>
      <c r="C57" s="74">
        <f t="shared" si="4"/>
        <v>2345760.492079793</v>
      </c>
      <c r="D57" s="74">
        <f t="shared" si="7"/>
        <v>23457.604920797927</v>
      </c>
      <c r="E57" s="74">
        <f t="shared" si="6"/>
        <v>169867.82301930993</v>
      </c>
      <c r="F57" s="74">
        <f t="shared" si="5"/>
        <v>193325.42794010785</v>
      </c>
      <c r="G57" s="74">
        <f t="shared" si="3"/>
        <v>2175892.6690604831</v>
      </c>
      <c r="H57" s="1"/>
      <c r="I57" s="1"/>
    </row>
    <row r="58" spans="1:9">
      <c r="A58" s="73" t="s">
        <v>15</v>
      </c>
      <c r="B58" s="73" t="s">
        <v>100</v>
      </c>
      <c r="C58" s="74">
        <f t="shared" si="4"/>
        <v>2175892.6690604831</v>
      </c>
      <c r="D58" s="74">
        <f t="shared" si="7"/>
        <v>21758.926690604832</v>
      </c>
      <c r="E58" s="74">
        <f t="shared" si="6"/>
        <v>171566.50124950302</v>
      </c>
      <c r="F58" s="74">
        <f t="shared" si="5"/>
        <v>193325.42794010785</v>
      </c>
      <c r="G58" s="74">
        <f t="shared" si="3"/>
        <v>2004326.16781098</v>
      </c>
    </row>
    <row r="59" spans="1:9">
      <c r="A59" s="73"/>
      <c r="B59" s="73" t="s">
        <v>101</v>
      </c>
      <c r="C59" s="74">
        <f t="shared" si="4"/>
        <v>2004326.16781098</v>
      </c>
      <c r="D59" s="74">
        <f t="shared" si="7"/>
        <v>20043.2616781098</v>
      </c>
      <c r="E59" s="74">
        <f t="shared" si="6"/>
        <v>173282.16626199806</v>
      </c>
      <c r="F59" s="74">
        <f t="shared" si="5"/>
        <v>193325.42794010785</v>
      </c>
      <c r="G59" s="74">
        <f t="shared" si="3"/>
        <v>1831044.001548982</v>
      </c>
    </row>
    <row r="60" spans="1:9">
      <c r="A60" s="73"/>
      <c r="B60" s="73" t="s">
        <v>102</v>
      </c>
      <c r="C60" s="74">
        <f t="shared" si="4"/>
        <v>1831044.001548982</v>
      </c>
      <c r="D60" s="74">
        <f t="shared" si="7"/>
        <v>18310.440015489821</v>
      </c>
      <c r="E60" s="74">
        <f t="shared" si="6"/>
        <v>175014.98792461804</v>
      </c>
      <c r="F60" s="74">
        <f t="shared" si="5"/>
        <v>193325.42794010785</v>
      </c>
      <c r="G60" s="74">
        <f t="shared" si="3"/>
        <v>1656029.013624364</v>
      </c>
    </row>
    <row r="61" spans="1:9">
      <c r="A61" s="73"/>
      <c r="B61" s="73" t="s">
        <v>103</v>
      </c>
      <c r="C61" s="74">
        <f t="shared" si="4"/>
        <v>1656029.013624364</v>
      </c>
      <c r="D61" s="74">
        <f t="shared" si="7"/>
        <v>16560.290136243639</v>
      </c>
      <c r="E61" s="74">
        <f t="shared" si="6"/>
        <v>176765.1378038642</v>
      </c>
      <c r="F61" s="74">
        <f t="shared" si="5"/>
        <v>193325.42794010785</v>
      </c>
      <c r="G61" s="74">
        <f t="shared" si="3"/>
        <v>1479263.8758204998</v>
      </c>
    </row>
    <row r="62" spans="1:9">
      <c r="A62" s="73"/>
      <c r="B62" s="73" t="s">
        <v>104</v>
      </c>
      <c r="C62" s="74">
        <f t="shared" si="4"/>
        <v>1479263.8758204998</v>
      </c>
      <c r="D62" s="74">
        <f t="shared" si="7"/>
        <v>14792.638758204999</v>
      </c>
      <c r="E62" s="74">
        <f t="shared" si="6"/>
        <v>178532.78918190286</v>
      </c>
      <c r="F62" s="74">
        <f t="shared" si="5"/>
        <v>193325.42794010785</v>
      </c>
      <c r="G62" s="74">
        <f t="shared" si="3"/>
        <v>1300731.0866385971</v>
      </c>
    </row>
    <row r="63" spans="1:9">
      <c r="A63" s="73"/>
      <c r="B63" s="73" t="s">
        <v>105</v>
      </c>
      <c r="C63" s="74">
        <f t="shared" si="4"/>
        <v>1300731.0866385971</v>
      </c>
      <c r="D63" s="74">
        <f t="shared" si="7"/>
        <v>13007.310866385969</v>
      </c>
      <c r="E63" s="74">
        <f t="shared" si="6"/>
        <v>180318.11707372189</v>
      </c>
      <c r="F63" s="74">
        <f t="shared" si="5"/>
        <v>193325.42794010785</v>
      </c>
      <c r="G63" s="74">
        <f t="shared" si="3"/>
        <v>1120412.9695648751</v>
      </c>
    </row>
    <row r="64" spans="1:9">
      <c r="A64" s="73"/>
      <c r="B64" s="73" t="s">
        <v>106</v>
      </c>
      <c r="C64" s="74">
        <f t="shared" si="4"/>
        <v>1120412.9695648751</v>
      </c>
      <c r="D64" s="74">
        <f t="shared" si="7"/>
        <v>11204.129695648751</v>
      </c>
      <c r="E64" s="74">
        <f t="shared" si="6"/>
        <v>182121.29824445909</v>
      </c>
      <c r="F64" s="74">
        <f t="shared" si="5"/>
        <v>193325.42794010785</v>
      </c>
      <c r="G64" s="74">
        <f t="shared" si="3"/>
        <v>938291.67132041603</v>
      </c>
    </row>
    <row r="65" spans="1:9">
      <c r="A65" s="73"/>
      <c r="B65" s="73" t="s">
        <v>107</v>
      </c>
      <c r="C65" s="74">
        <f t="shared" si="4"/>
        <v>938291.67132041603</v>
      </c>
      <c r="D65" s="74">
        <f t="shared" si="7"/>
        <v>9382.9167132041603</v>
      </c>
      <c r="E65" s="74">
        <f t="shared" si="6"/>
        <v>183942.51122690371</v>
      </c>
      <c r="F65" s="74">
        <f t="shared" si="5"/>
        <v>193325.42794010785</v>
      </c>
      <c r="G65" s="74">
        <f t="shared" si="3"/>
        <v>754349.16009351239</v>
      </c>
    </row>
    <row r="66" spans="1:9">
      <c r="A66" s="73"/>
      <c r="B66" s="73" t="s">
        <v>108</v>
      </c>
      <c r="C66" s="74">
        <f t="shared" si="4"/>
        <v>754349.16009351239</v>
      </c>
      <c r="D66" s="74">
        <f t="shared" si="7"/>
        <v>7543.4916009351227</v>
      </c>
      <c r="E66" s="74">
        <f t="shared" si="6"/>
        <v>185781.93633917274</v>
      </c>
      <c r="F66" s="74">
        <f t="shared" si="5"/>
        <v>193325.42794010785</v>
      </c>
      <c r="G66" s="74">
        <f t="shared" si="3"/>
        <v>568567.22375433962</v>
      </c>
    </row>
    <row r="67" spans="1:9">
      <c r="A67" s="73"/>
      <c r="B67" s="73" t="s">
        <v>109</v>
      </c>
      <c r="C67" s="74">
        <f t="shared" si="4"/>
        <v>568567.22375433962</v>
      </c>
      <c r="D67" s="74">
        <f t="shared" si="7"/>
        <v>5685.6722375433965</v>
      </c>
      <c r="E67" s="74">
        <f t="shared" si="6"/>
        <v>187639.75570256446</v>
      </c>
      <c r="F67" s="74">
        <f t="shared" si="5"/>
        <v>193325.42794010785</v>
      </c>
      <c r="G67" s="74">
        <f t="shared" si="3"/>
        <v>380927.46805177513</v>
      </c>
    </row>
    <row r="68" spans="1:9">
      <c r="A68" s="73"/>
      <c r="B68" s="73" t="s">
        <v>110</v>
      </c>
      <c r="C68" s="74">
        <f t="shared" si="4"/>
        <v>380927.46805177513</v>
      </c>
      <c r="D68" s="74">
        <f t="shared" si="7"/>
        <v>3809.2746805177508</v>
      </c>
      <c r="E68" s="74">
        <f t="shared" si="6"/>
        <v>189516.15325959009</v>
      </c>
      <c r="F68" s="74">
        <f t="shared" si="5"/>
        <v>193325.42794010785</v>
      </c>
      <c r="G68" s="74">
        <f t="shared" si="3"/>
        <v>191411.31479218503</v>
      </c>
    </row>
    <row r="69" spans="1:9">
      <c r="A69" s="73"/>
      <c r="B69" s="73" t="s">
        <v>111</v>
      </c>
      <c r="C69" s="74">
        <f t="shared" si="4"/>
        <v>191411.31479218503</v>
      </c>
      <c r="D69" s="74">
        <f t="shared" si="7"/>
        <v>1914.1131479218502</v>
      </c>
      <c r="E69" s="74">
        <f t="shared" si="6"/>
        <v>191411.31479218599</v>
      </c>
      <c r="F69" s="74">
        <f t="shared" si="5"/>
        <v>193325.42794010785</v>
      </c>
      <c r="G69" s="74">
        <f t="shared" si="3"/>
        <v>-9.6042640507221222E-10</v>
      </c>
      <c r="H69" s="1"/>
      <c r="I69" s="1"/>
    </row>
    <row r="70" spans="1:9">
      <c r="A70" s="73" t="s">
        <v>16</v>
      </c>
      <c r="B70" s="73"/>
      <c r="C70" s="74"/>
      <c r="D70" s="74"/>
      <c r="E70" s="74"/>
      <c r="F70" s="74"/>
      <c r="G70" s="74"/>
    </row>
    <row r="71" spans="1:9">
      <c r="A71" s="73"/>
      <c r="B71" s="73"/>
      <c r="C71" s="74"/>
      <c r="D71" s="74"/>
      <c r="E71" s="74"/>
      <c r="F71" s="74"/>
      <c r="G71" s="74"/>
    </row>
    <row r="72" spans="1:9">
      <c r="A72" s="73"/>
      <c r="B72" s="73"/>
      <c r="C72" s="74"/>
      <c r="D72" s="74"/>
      <c r="E72" s="74"/>
      <c r="F72" s="74"/>
      <c r="G72" s="74"/>
      <c r="H72" s="1"/>
      <c r="I72" s="1"/>
    </row>
    <row r="73" spans="1:9">
      <c r="A73" s="73" t="s">
        <v>275</v>
      </c>
      <c r="B73" s="73"/>
      <c r="C73" s="74"/>
      <c r="D73" s="74"/>
      <c r="E73" s="74"/>
      <c r="F73" s="74"/>
      <c r="G73" s="74"/>
    </row>
    <row r="74" spans="1:9">
      <c r="A74" s="73"/>
      <c r="B74" s="73"/>
      <c r="C74" s="74"/>
      <c r="D74" s="74"/>
      <c r="E74" s="74"/>
      <c r="F74" s="74"/>
      <c r="G74" s="74"/>
    </row>
    <row r="75" spans="1:9">
      <c r="A75" s="73"/>
      <c r="B75" s="73"/>
      <c r="C75" s="74"/>
      <c r="D75" s="74"/>
      <c r="E75" s="74"/>
      <c r="F75" s="74"/>
      <c r="G75" s="74"/>
    </row>
    <row r="76" spans="1:9">
      <c r="A76" s="72"/>
      <c r="B76" s="72"/>
      <c r="C76" s="72"/>
      <c r="D76" s="79">
        <f>SUM(D10:D75)</f>
        <v>2885470.1230858229</v>
      </c>
      <c r="E76" s="79">
        <f>SUM(E10:E75)</f>
        <v>8036279.7720000008</v>
      </c>
      <c r="F76" s="72"/>
      <c r="G76" s="72"/>
    </row>
    <row r="77" spans="1:9" ht="39.950000000000003" customHeight="1">
      <c r="A77" s="430" t="s">
        <v>405</v>
      </c>
      <c r="B77" s="430"/>
      <c r="C77" s="430"/>
      <c r="D77" s="430"/>
      <c r="E77" s="430"/>
      <c r="F77" s="430"/>
      <c r="G77" s="430"/>
      <c r="H77" s="430"/>
    </row>
    <row r="78" spans="1:9">
      <c r="A78" t="s">
        <v>521</v>
      </c>
    </row>
    <row r="79" spans="1:9">
      <c r="A79">
        <v>1</v>
      </c>
      <c r="B79" t="s">
        <v>522</v>
      </c>
    </row>
    <row r="80" spans="1:9">
      <c r="A80">
        <v>2</v>
      </c>
      <c r="B80" t="s">
        <v>523</v>
      </c>
    </row>
  </sheetData>
  <mergeCells count="2">
    <mergeCell ref="A2:G2"/>
    <mergeCell ref="A77:H77"/>
  </mergeCells>
  <pageMargins left="0.7" right="0.7" top="0.75" bottom="0.75" header="0.3" footer="0.3"/>
  <pageSetup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71"/>
  <sheetViews>
    <sheetView view="pageBreakPreview" zoomScaleSheetLayoutView="100" workbookViewId="0">
      <selection activeCell="D1" sqref="D1"/>
    </sheetView>
  </sheetViews>
  <sheetFormatPr defaultRowHeight="15"/>
  <cols>
    <col min="2" max="2" width="7.5703125" bestFit="1" customWidth="1"/>
    <col min="3" max="3" width="23.140625" customWidth="1"/>
    <col min="4" max="4" width="10.5703125" customWidth="1"/>
    <col min="5" max="5" width="11.28515625" bestFit="1" customWidth="1"/>
    <col min="6" max="6" width="11.7109375" customWidth="1"/>
    <col min="7" max="7" width="11.140625" customWidth="1"/>
    <col min="8" max="8" width="13.42578125" customWidth="1"/>
    <col min="9" max="9" width="15" customWidth="1"/>
    <col min="10" max="10" width="15.42578125" customWidth="1"/>
    <col min="11" max="11" width="14.285156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04" t="s">
        <v>544</v>
      </c>
      <c r="D2" s="404"/>
      <c r="E2" s="404"/>
      <c r="F2" s="404"/>
      <c r="G2" s="404"/>
      <c r="H2" s="404"/>
      <c r="I2" s="404"/>
      <c r="J2" s="404"/>
      <c r="K2" s="404"/>
      <c r="L2" s="174"/>
    </row>
    <row r="4" spans="3:22">
      <c r="C4" s="64" t="s">
        <v>0</v>
      </c>
      <c r="D4" s="64"/>
      <c r="E4" s="65" t="s">
        <v>2</v>
      </c>
      <c r="F4" s="65" t="s">
        <v>3</v>
      </c>
      <c r="G4" s="65" t="s">
        <v>4</v>
      </c>
      <c r="H4" s="65" t="s">
        <v>5</v>
      </c>
      <c r="I4" s="65" t="s">
        <v>6</v>
      </c>
      <c r="J4" s="65" t="s">
        <v>168</v>
      </c>
      <c r="K4" s="65" t="s">
        <v>167</v>
      </c>
      <c r="L4" s="72"/>
      <c r="M4" s="72"/>
      <c r="N4" s="208"/>
      <c r="O4" s="208"/>
      <c r="P4" s="208"/>
      <c r="Q4" s="208"/>
      <c r="R4" s="208"/>
      <c r="S4" s="208"/>
      <c r="T4" s="208"/>
      <c r="U4" s="208"/>
      <c r="V4" s="208"/>
    </row>
    <row r="5" spans="3:22">
      <c r="C5" s="73" t="s">
        <v>359</v>
      </c>
      <c r="D5" s="73"/>
      <c r="E5" s="73"/>
      <c r="F5" s="73"/>
      <c r="G5" s="73"/>
      <c r="H5" s="73"/>
      <c r="I5" s="73"/>
      <c r="J5" s="73"/>
      <c r="K5" s="73"/>
      <c r="L5" s="72"/>
      <c r="M5" s="72"/>
      <c r="N5" s="438" t="s">
        <v>518</v>
      </c>
      <c r="O5" s="438"/>
      <c r="P5" s="438"/>
      <c r="Q5" s="438"/>
      <c r="R5" s="438"/>
      <c r="S5" s="208"/>
      <c r="T5" s="208"/>
      <c r="U5" s="438" t="s">
        <v>519</v>
      </c>
      <c r="V5" s="438"/>
    </row>
    <row r="6" spans="3:22" hidden="1">
      <c r="C6" s="73" t="s">
        <v>360</v>
      </c>
      <c r="D6" s="160"/>
      <c r="E6" s="73"/>
      <c r="F6" s="74">
        <f t="shared" ref="F6:K9" si="0">E15</f>
        <v>0</v>
      </c>
      <c r="G6" s="74">
        <f t="shared" si="0"/>
        <v>0</v>
      </c>
      <c r="H6" s="74">
        <f t="shared" si="0"/>
        <v>0</v>
      </c>
      <c r="I6" s="74">
        <f t="shared" si="0"/>
        <v>0</v>
      </c>
      <c r="J6" s="74">
        <f t="shared" si="0"/>
        <v>0</v>
      </c>
      <c r="K6" s="74">
        <f t="shared" si="0"/>
        <v>0</v>
      </c>
      <c r="L6" s="72"/>
      <c r="M6" s="72"/>
      <c r="N6" s="437" t="s">
        <v>520</v>
      </c>
      <c r="O6" s="437"/>
      <c r="P6" s="437"/>
      <c r="Q6" s="437"/>
      <c r="R6" s="437"/>
      <c r="S6" s="208"/>
      <c r="T6" s="208"/>
      <c r="U6" s="437" t="s">
        <v>520</v>
      </c>
      <c r="V6" s="437"/>
    </row>
    <row r="7" spans="3:22">
      <c r="C7" s="73" t="str">
        <f>C16</f>
        <v>Flour Mill</v>
      </c>
      <c r="D7" s="160"/>
      <c r="E7" s="73"/>
      <c r="F7" s="74">
        <f t="shared" si="0"/>
        <v>1127007.6977412</v>
      </c>
      <c r="G7" s="74">
        <f t="shared" si="0"/>
        <v>1378379.9373659701</v>
      </c>
      <c r="H7" s="74">
        <f t="shared" si="0"/>
        <v>1652071.8817088641</v>
      </c>
      <c r="I7" s="74">
        <f t="shared" si="0"/>
        <v>1949687.0706426327</v>
      </c>
      <c r="J7" s="74">
        <f t="shared" si="0"/>
        <v>2272933.5987655059</v>
      </c>
      <c r="K7" s="74">
        <f t="shared" si="0"/>
        <v>2623630.5620240602</v>
      </c>
      <c r="L7" s="72"/>
      <c r="M7" s="72"/>
      <c r="N7" s="209" t="s">
        <v>0</v>
      </c>
      <c r="O7" s="209" t="s">
        <v>162</v>
      </c>
      <c r="P7" s="209" t="s">
        <v>163</v>
      </c>
      <c r="Q7" s="209" t="s">
        <v>309</v>
      </c>
      <c r="R7" s="209" t="s">
        <v>310</v>
      </c>
      <c r="S7" s="208"/>
      <c r="T7" s="208"/>
      <c r="U7" s="277" t="s">
        <v>0</v>
      </c>
      <c r="V7" s="277" t="s">
        <v>480</v>
      </c>
    </row>
    <row r="8" spans="3:22">
      <c r="C8" s="73" t="str">
        <f>C17</f>
        <v>Cleaning &amp; Grading</v>
      </c>
      <c r="D8" s="160"/>
      <c r="E8" s="73"/>
      <c r="F8" s="74">
        <f t="shared" si="0"/>
        <v>404047.49512724992</v>
      </c>
      <c r="G8" s="74">
        <f t="shared" si="0"/>
        <v>466852.84570572368</v>
      </c>
      <c r="H8" s="74">
        <f t="shared" si="0"/>
        <v>534928.61260422668</v>
      </c>
      <c r="I8" s="74">
        <f t="shared" si="0"/>
        <v>608644.82407831587</v>
      </c>
      <c r="J8" s="74">
        <f t="shared" si="0"/>
        <v>688395.33516830334</v>
      </c>
      <c r="K8" s="74">
        <f t="shared" si="0"/>
        <v>774599.28530709352</v>
      </c>
      <c r="L8" s="72"/>
      <c r="M8" s="72"/>
      <c r="N8" s="210" t="s">
        <v>361</v>
      </c>
      <c r="O8" s="210">
        <f>'13.Facility 2 Cleaning &amp; Gradin'!C151</f>
        <v>6000</v>
      </c>
      <c r="P8" s="210" t="e">
        <f>'13.Facility 2 Cleaning &amp; Gradin'!#REF!</f>
        <v>#REF!</v>
      </c>
      <c r="Q8" s="210">
        <f>'13.Facility 2 Cleaning &amp; Gradin'!C152</f>
        <v>5000</v>
      </c>
      <c r="R8" s="210" t="e">
        <f>'13.Facility 2 Cleaning &amp; Gradin'!#REF!</f>
        <v>#REF!</v>
      </c>
      <c r="S8" s="208"/>
      <c r="T8" s="208"/>
      <c r="U8" s="210" t="s">
        <v>336</v>
      </c>
      <c r="V8" s="210">
        <f>'17.Facility 6 Roasted Channa '!C163</f>
        <v>5000</v>
      </c>
    </row>
    <row r="9" spans="3:22">
      <c r="C9" s="73">
        <f>C18</f>
        <v>0</v>
      </c>
      <c r="D9" s="73"/>
      <c r="E9" s="73"/>
      <c r="F9" s="74">
        <f>E18</f>
        <v>0</v>
      </c>
      <c r="G9" s="74">
        <f t="shared" si="0"/>
        <v>0</v>
      </c>
      <c r="H9" s="74">
        <f t="shared" si="0"/>
        <v>0</v>
      </c>
      <c r="I9" s="74">
        <f t="shared" si="0"/>
        <v>0</v>
      </c>
      <c r="J9" s="74">
        <f t="shared" si="0"/>
        <v>0</v>
      </c>
      <c r="K9" s="74">
        <f t="shared" si="0"/>
        <v>0</v>
      </c>
      <c r="L9" s="72"/>
      <c r="M9" s="72"/>
      <c r="N9" s="210" t="e">
        <f>'13.Facility 2 Cleaning &amp; Gradin'!#REF!</f>
        <v>#REF!</v>
      </c>
      <c r="O9" s="210" t="e">
        <f>('13.Facility 2 Cleaning &amp; Gradin'!#REF!*'13.Facility 2 Cleaning &amp; Gradin'!#REF!/1000)*100</f>
        <v>#REF!</v>
      </c>
      <c r="P9" s="210" t="e">
        <f>O9</f>
        <v>#REF!</v>
      </c>
      <c r="Q9" s="210" t="e">
        <f t="shared" ref="Q9:R9" si="1">P9</f>
        <v>#REF!</v>
      </c>
      <c r="R9" s="210" t="e">
        <f t="shared" si="1"/>
        <v>#REF!</v>
      </c>
      <c r="S9" s="208"/>
      <c r="T9" s="208"/>
      <c r="U9" s="210" t="str">
        <f>'17.Facility 6 Roasted Channa '!A164</f>
        <v>Other Consumbales</v>
      </c>
      <c r="V9" s="211">
        <f>'17.Facility 6 Roasted Channa '!C164</f>
        <v>2000</v>
      </c>
    </row>
    <row r="10" spans="3:22">
      <c r="C10" s="73"/>
      <c r="D10" s="73"/>
      <c r="E10" s="73"/>
      <c r="F10" s="74"/>
      <c r="G10" s="74"/>
      <c r="H10" s="74"/>
      <c r="I10" s="74"/>
      <c r="J10" s="74"/>
      <c r="K10" s="74"/>
      <c r="L10" s="72"/>
      <c r="M10" s="72"/>
      <c r="N10" s="210" t="str">
        <f>'13.Facility 2 Cleaning &amp; Gradin'!A153</f>
        <v xml:space="preserve">Daily Labour </v>
      </c>
      <c r="O10" s="212">
        <f>('13.Facility 2 Cleaning &amp; Gradin'!B153*'13.Facility 2 Cleaning &amp; Gradin'!C153)/('13.Facility 2 Cleaning &amp; Gradin'!B5*'13.Facility 2 Cleaning &amp; Gradin'!B6)</f>
        <v>9.375</v>
      </c>
      <c r="P10" s="212">
        <f>O10</f>
        <v>9.375</v>
      </c>
      <c r="Q10" s="212">
        <f t="shared" ref="Q10:R10" si="2">P10</f>
        <v>9.375</v>
      </c>
      <c r="R10" s="212">
        <f t="shared" si="2"/>
        <v>9.375</v>
      </c>
      <c r="S10" s="208"/>
      <c r="T10" s="208"/>
      <c r="U10" s="210" t="str">
        <f>'17.Facility 6 Roasted Channa '!A165</f>
        <v xml:space="preserve">Daily Labour </v>
      </c>
      <c r="V10" s="211" t="e">
        <f>'17.Facility 6 Roasted Channa '!B165*'17.Facility 6 Roasted Channa '!C165/('17.Facility 6 Roasted Channa '!B5*'17.Facility 6 Roasted Channa '!B6)</f>
        <v>#DIV/0!</v>
      </c>
    </row>
    <row r="11" spans="3:22">
      <c r="C11" s="73"/>
      <c r="D11" s="73"/>
      <c r="E11" s="73"/>
      <c r="F11" s="74"/>
      <c r="G11" s="74"/>
      <c r="H11" s="74"/>
      <c r="I11" s="74"/>
      <c r="J11" s="74"/>
      <c r="K11" s="74"/>
      <c r="L11" s="72"/>
      <c r="M11" s="72"/>
      <c r="N11" s="210" t="str">
        <f>'13.Facility 2 Cleaning &amp; Gradin'!A154</f>
        <v>Electricity Charges</v>
      </c>
      <c r="O11" s="212">
        <f>('13.Facility 2 Cleaning &amp; Gradin'!B154*'13.Facility 2 Cleaning &amp; Gradin'!C154)/('13.Facility 2 Cleaning &amp; Gradin'!B5*'13.Facility 2 Cleaning &amp; Gradin'!B6)</f>
        <v>3.7299999999999995</v>
      </c>
      <c r="P11" s="212">
        <f>O11</f>
        <v>3.7299999999999995</v>
      </c>
      <c r="Q11" s="212">
        <f t="shared" ref="Q11" si="3">P11</f>
        <v>3.7299999999999995</v>
      </c>
      <c r="R11" s="212">
        <f t="shared" ref="R11" si="4">Q11</f>
        <v>3.7299999999999995</v>
      </c>
      <c r="S11" s="208"/>
      <c r="T11" s="208"/>
      <c r="U11" s="210" t="str">
        <f>'17.Facility 6 Roasted Channa '!A166</f>
        <v>Electricity Charges</v>
      </c>
      <c r="V11" s="210" t="e">
        <f>'17.Facility 6 Roasted Channa '!B166*'17.Facility 6 Roasted Channa '!C166/('17.Facility 6 Roasted Channa '!B5*'17.Facility 6 Roasted Channa '!B6)</f>
        <v>#DIV/0!</v>
      </c>
    </row>
    <row r="12" spans="3:22">
      <c r="C12" s="73" t="s">
        <v>1</v>
      </c>
      <c r="D12" s="73"/>
      <c r="E12" s="74"/>
      <c r="F12" s="74">
        <f t="shared" ref="F12:K12" si="5">SUM(F6:F11)</f>
        <v>1531055.19286845</v>
      </c>
      <c r="G12" s="74">
        <f t="shared" si="5"/>
        <v>1845232.7830716937</v>
      </c>
      <c r="H12" s="74">
        <f t="shared" si="5"/>
        <v>2187000.494313091</v>
      </c>
      <c r="I12" s="74">
        <f t="shared" si="5"/>
        <v>2558331.8947209483</v>
      </c>
      <c r="J12" s="74">
        <f t="shared" si="5"/>
        <v>2961328.9339338094</v>
      </c>
      <c r="K12" s="74">
        <f t="shared" si="5"/>
        <v>3398229.8473311537</v>
      </c>
      <c r="L12" s="72"/>
      <c r="M12" s="72"/>
      <c r="N12" s="210" t="e">
        <f>'13.Facility 2 Cleaning &amp; Gradin'!#REF!</f>
        <v>#REF!</v>
      </c>
      <c r="O12" s="210" t="e">
        <f>'13.Facility 2 Cleaning &amp; Gradin'!#REF!*2</f>
        <v>#REF!</v>
      </c>
      <c r="P12" s="210" t="e">
        <f>O12</f>
        <v>#REF!</v>
      </c>
      <c r="Q12" s="210" t="e">
        <f t="shared" ref="Q12:R13" si="6">P12</f>
        <v>#REF!</v>
      </c>
      <c r="R12" s="210" t="e">
        <f t="shared" si="6"/>
        <v>#REF!</v>
      </c>
      <c r="S12" s="208"/>
      <c r="T12" s="208"/>
      <c r="U12" s="210" t="str">
        <f>'17.Facility 6 Roasted Channa '!A167</f>
        <v>Loading/Unloading Charges</v>
      </c>
      <c r="V12" s="210">
        <f>'17.Facility 6 Roasted Channa '!C167</f>
        <v>10</v>
      </c>
    </row>
    <row r="13" spans="3:22">
      <c r="C13" s="73"/>
      <c r="D13" s="73"/>
      <c r="E13" s="73"/>
      <c r="F13" s="74"/>
      <c r="G13" s="74"/>
      <c r="H13" s="74"/>
      <c r="I13" s="74"/>
      <c r="J13" s="74"/>
      <c r="K13" s="74"/>
      <c r="L13" s="72"/>
      <c r="M13" s="72"/>
      <c r="N13" s="210" t="str">
        <f>'13.Facility 2 Cleaning &amp; Gradin'!A155</f>
        <v>packaging Exp- Oil Packaging</v>
      </c>
      <c r="O13" s="210">
        <f>'13.Facility 2 Cleaning &amp; Gradin'!C155*2</f>
        <v>60</v>
      </c>
      <c r="P13" s="210">
        <f>O13</f>
        <v>60</v>
      </c>
      <c r="Q13" s="210">
        <f t="shared" si="6"/>
        <v>60</v>
      </c>
      <c r="R13" s="210">
        <f t="shared" si="6"/>
        <v>60</v>
      </c>
      <c r="S13" s="208"/>
      <c r="T13" s="208"/>
      <c r="U13" s="210" t="str">
        <f>'17.Facility 6 Roasted Channa '!A168</f>
        <v>packaging Exp</v>
      </c>
      <c r="V13" s="9">
        <f>'17.Facility 6 Roasted Channa '!C168*100</f>
        <v>3000</v>
      </c>
    </row>
    <row r="14" spans="3:22">
      <c r="C14" s="75" t="s">
        <v>338</v>
      </c>
      <c r="D14" s="73"/>
      <c r="E14" s="73"/>
      <c r="F14" s="74"/>
      <c r="G14" s="74"/>
      <c r="H14" s="74"/>
      <c r="I14" s="74"/>
      <c r="J14" s="74"/>
      <c r="K14" s="74"/>
      <c r="L14" s="72"/>
      <c r="M14" s="72"/>
      <c r="N14" s="210"/>
      <c r="O14" s="9"/>
      <c r="P14" s="9"/>
      <c r="Q14" s="9"/>
      <c r="R14" s="9"/>
      <c r="S14" s="208"/>
      <c r="T14" s="208"/>
      <c r="U14" s="9"/>
      <c r="V14" s="9"/>
    </row>
    <row r="15" spans="3:22" hidden="1">
      <c r="C15" s="73" t="str">
        <f>C6</f>
        <v>Agri Input</v>
      </c>
      <c r="D15" s="233">
        <v>0.05</v>
      </c>
      <c r="E15" s="74">
        <f>SUM('16.Facility 5 Agri Input'!D198:D259)*$D$15</f>
        <v>0</v>
      </c>
      <c r="F15" s="74">
        <f>SUM('16.Facility 5 Agri Input'!E198:E259)*$D$15</f>
        <v>0</v>
      </c>
      <c r="G15" s="74">
        <f>SUM('16.Facility 5 Agri Input'!F198:F259)*$D$15</f>
        <v>0</v>
      </c>
      <c r="H15" s="74">
        <f>SUM('16.Facility 5 Agri Input'!G198:G259)*$D$15</f>
        <v>0</v>
      </c>
      <c r="I15" s="74">
        <f>SUM('16.Facility 5 Agri Input'!H198:H259)*$D$15</f>
        <v>0</v>
      </c>
      <c r="J15" s="74">
        <f>SUM('16.Facility 5 Agri Input'!I198:I259)*$D$15</f>
        <v>0</v>
      </c>
      <c r="K15" s="74">
        <f>SUM('16.Facility 5 Agri Input'!J198:J259)*$D$15</f>
        <v>0</v>
      </c>
      <c r="L15" s="72"/>
      <c r="M15" s="72"/>
      <c r="N15" s="9"/>
      <c r="O15" s="9"/>
      <c r="P15" s="9"/>
      <c r="Q15" s="9"/>
      <c r="R15" s="9"/>
      <c r="U15" s="9"/>
      <c r="V15" s="9"/>
    </row>
    <row r="16" spans="3:22">
      <c r="C16" s="73" t="s">
        <v>731</v>
      </c>
      <c r="D16" s="233">
        <v>0.05</v>
      </c>
      <c r="E16" s="74">
        <f>SUM('12.Facility 1 - Flour Mill'!D187:D197)*$D$16</f>
        <v>1127007.6977412</v>
      </c>
      <c r="F16" s="74">
        <f>SUM('12.Facility 1 - Flour Mill'!E187:E197)*$D$16</f>
        <v>1378379.9373659701</v>
      </c>
      <c r="G16" s="74">
        <f>SUM('12.Facility 1 - Flour Mill'!F187:F197)*$D$16</f>
        <v>1652071.8817088641</v>
      </c>
      <c r="H16" s="74">
        <f>SUM('12.Facility 1 - Flour Mill'!G187:G197)*$D$16</f>
        <v>1949687.0706426327</v>
      </c>
      <c r="I16" s="74">
        <f>SUM('12.Facility 1 - Flour Mill'!H187:H197)*$D$16</f>
        <v>2272933.5987655059</v>
      </c>
      <c r="J16" s="74">
        <f>SUM('12.Facility 1 - Flour Mill'!I187:I197)*$D$16</f>
        <v>2623630.5620240602</v>
      </c>
      <c r="K16" s="74">
        <f>SUM('12.Facility 1 - Flour Mill'!J187:J197)*$D$16</f>
        <v>3003714.8876115568</v>
      </c>
      <c r="L16" s="72"/>
      <c r="M16" s="72"/>
      <c r="N16" s="209" t="s">
        <v>362</v>
      </c>
      <c r="O16" s="213" t="e">
        <f>SUM(O8:O13)</f>
        <v>#REF!</v>
      </c>
      <c r="P16" s="213" t="e">
        <f>SUM(P8:P13)</f>
        <v>#REF!</v>
      </c>
      <c r="Q16" s="213" t="e">
        <f>SUM(Q8:Q13)</f>
        <v>#REF!</v>
      </c>
      <c r="R16" s="213" t="e">
        <f>SUM(R8:R13)</f>
        <v>#REF!</v>
      </c>
      <c r="U16" s="209" t="s">
        <v>1</v>
      </c>
      <c r="V16" s="213" t="e">
        <f>SUM(V8:V15)</f>
        <v>#DIV/0!</v>
      </c>
    </row>
    <row r="17" spans="1:18">
      <c r="C17" s="73" t="s">
        <v>775</v>
      </c>
      <c r="D17" s="233">
        <v>0.05</v>
      </c>
      <c r="E17" s="74">
        <f>SUM('13.Facility 2 Cleaning &amp; Gradin'!D151:D159)*$D$17</f>
        <v>404047.49512724992</v>
      </c>
      <c r="F17" s="74">
        <f>SUM('13.Facility 2 Cleaning &amp; Gradin'!E151:E159)*$D$17</f>
        <v>466852.84570572368</v>
      </c>
      <c r="G17" s="74">
        <f>SUM('13.Facility 2 Cleaning &amp; Gradin'!F151:F159)*$D$17</f>
        <v>534928.61260422668</v>
      </c>
      <c r="H17" s="74">
        <f>SUM('13.Facility 2 Cleaning &amp; Gradin'!G151:G159)*$D$17</f>
        <v>608644.82407831587</v>
      </c>
      <c r="I17" s="74">
        <f>SUM('13.Facility 2 Cleaning &amp; Gradin'!H151:H159)*$D$17</f>
        <v>688395.33516830334</v>
      </c>
      <c r="J17" s="74">
        <f>SUM('13.Facility 2 Cleaning &amp; Gradin'!I151:I159)*$D$17</f>
        <v>774599.28530709352</v>
      </c>
      <c r="K17" s="74">
        <f>SUM('13.Facility 2 Cleaning &amp; Gradin'!J151:J159)*$D$17</f>
        <v>867702.64212184213</v>
      </c>
      <c r="L17" s="72"/>
      <c r="M17" s="72"/>
    </row>
    <row r="18" spans="1:18">
      <c r="C18" s="73"/>
      <c r="D18" s="233"/>
      <c r="E18" s="74">
        <f>SUM('17.Facility 6 Roasted Channa '!D163:D169)*$D$18</f>
        <v>0</v>
      </c>
      <c r="F18" s="74">
        <f>SUM('17.Facility 6 Roasted Channa '!E163:E169)*$D$18</f>
        <v>0</v>
      </c>
      <c r="G18" s="74">
        <f>SUM('17.Facility 6 Roasted Channa '!F163:F169)*$D$18</f>
        <v>0</v>
      </c>
      <c r="H18" s="74">
        <f>SUM('17.Facility 6 Roasted Channa '!G163:G169)*$D$18</f>
        <v>0</v>
      </c>
      <c r="I18" s="74">
        <f>SUM('17.Facility 6 Roasted Channa '!H163:H169)*$D$18</f>
        <v>0</v>
      </c>
      <c r="J18" s="74">
        <f>SUM('17.Facility 6 Roasted Channa '!I163:I169)*$D$18</f>
        <v>0</v>
      </c>
      <c r="K18" s="74">
        <f>SUM('17.Facility 6 Roasted Channa '!J163:J169)*$D$18</f>
        <v>0</v>
      </c>
      <c r="L18" s="72"/>
      <c r="M18" s="72"/>
    </row>
    <row r="19" spans="1:18">
      <c r="C19" s="73"/>
      <c r="D19" s="206"/>
      <c r="E19" s="74"/>
      <c r="F19" s="74"/>
      <c r="G19" s="74"/>
      <c r="H19" s="74"/>
      <c r="I19" s="74"/>
      <c r="J19" s="74"/>
      <c r="K19" s="74"/>
      <c r="L19" s="72"/>
      <c r="M19" s="72"/>
    </row>
    <row r="20" spans="1:18">
      <c r="C20" s="73"/>
      <c r="D20" s="73"/>
      <c r="E20" s="73"/>
      <c r="F20" s="74"/>
      <c r="G20" s="74"/>
      <c r="H20" s="74"/>
      <c r="I20" s="74"/>
      <c r="J20" s="74"/>
      <c r="K20" s="74"/>
      <c r="L20" s="72"/>
      <c r="M20" s="72"/>
    </row>
    <row r="21" spans="1:18">
      <c r="C21" s="73" t="s">
        <v>1</v>
      </c>
      <c r="D21" s="73"/>
      <c r="E21" s="168">
        <f t="shared" ref="E21:K21" si="7">SUM(E15:E20)</f>
        <v>1531055.19286845</v>
      </c>
      <c r="F21" s="168">
        <f t="shared" si="7"/>
        <v>1845232.7830716937</v>
      </c>
      <c r="G21" s="168">
        <f t="shared" si="7"/>
        <v>2187000.494313091</v>
      </c>
      <c r="H21" s="168">
        <f t="shared" si="7"/>
        <v>2558331.8947209483</v>
      </c>
      <c r="I21" s="168">
        <f t="shared" si="7"/>
        <v>2961328.9339338094</v>
      </c>
      <c r="J21" s="168">
        <f t="shared" si="7"/>
        <v>3398229.8473311537</v>
      </c>
      <c r="K21" s="168">
        <f t="shared" si="7"/>
        <v>3871417.5297333989</v>
      </c>
      <c r="L21" s="72"/>
      <c r="M21" s="72"/>
    </row>
    <row r="22" spans="1:18">
      <c r="C22" s="72"/>
      <c r="D22" s="72"/>
      <c r="E22" s="318"/>
      <c r="F22" s="252"/>
      <c r="G22" s="252"/>
      <c r="H22" s="252"/>
      <c r="I22" s="252"/>
      <c r="J22" s="252"/>
      <c r="K22" s="252"/>
      <c r="L22" s="72"/>
      <c r="M22" s="72"/>
    </row>
    <row r="23" spans="1:18">
      <c r="C23" s="72"/>
      <c r="D23" s="72"/>
      <c r="E23" s="72"/>
      <c r="F23" s="318"/>
      <c r="G23" s="318"/>
      <c r="H23" s="318"/>
      <c r="I23" s="318"/>
      <c r="J23" s="318"/>
      <c r="K23" s="318"/>
      <c r="L23" s="72"/>
      <c r="M23" s="72"/>
    </row>
    <row r="24" spans="1:18" ht="41.1" customHeight="1">
      <c r="A24" s="439" t="s">
        <v>406</v>
      </c>
      <c r="B24" s="439"/>
      <c r="C24" s="439"/>
      <c r="D24" s="439"/>
      <c r="E24" s="439"/>
      <c r="F24" s="439"/>
      <c r="G24" s="439"/>
      <c r="H24" s="439"/>
      <c r="I24" s="439"/>
      <c r="J24" s="439"/>
      <c r="K24" s="439"/>
      <c r="L24" s="276"/>
      <c r="M24" s="276"/>
      <c r="N24" s="276"/>
      <c r="O24" s="241"/>
      <c r="P24" s="241"/>
      <c r="Q24" s="241"/>
      <c r="R24" s="241"/>
    </row>
    <row r="25" spans="1:18">
      <c r="A25" t="s">
        <v>521</v>
      </c>
    </row>
    <row r="26" spans="1:18">
      <c r="A26">
        <v>1</v>
      </c>
      <c r="B26" t="s">
        <v>524</v>
      </c>
    </row>
    <row r="29" spans="1:18" ht="18.75">
      <c r="B29" s="404" t="s">
        <v>545</v>
      </c>
      <c r="C29" s="404"/>
      <c r="D29" s="404"/>
      <c r="E29" s="404"/>
      <c r="F29" s="404"/>
      <c r="G29" s="404"/>
      <c r="H29" s="404"/>
      <c r="I29" s="404"/>
      <c r="J29" s="404"/>
      <c r="K29" s="404"/>
    </row>
    <row r="31" spans="1:18">
      <c r="B31" s="432" t="s">
        <v>145</v>
      </c>
      <c r="C31" s="432" t="s">
        <v>0</v>
      </c>
      <c r="D31" s="433" t="s">
        <v>358</v>
      </c>
      <c r="E31" s="435" t="s">
        <v>157</v>
      </c>
      <c r="F31" s="436"/>
      <c r="G31" s="436"/>
      <c r="H31" s="436"/>
      <c r="I31" s="436"/>
      <c r="J31" s="436"/>
      <c r="K31" s="436"/>
    </row>
    <row r="32" spans="1:18">
      <c r="B32" s="432"/>
      <c r="C32" s="432"/>
      <c r="D32" s="434"/>
      <c r="E32" s="179" t="s">
        <v>2</v>
      </c>
      <c r="F32" s="179" t="s">
        <v>3</v>
      </c>
      <c r="G32" s="179" t="s">
        <v>4</v>
      </c>
      <c r="H32" s="179" t="s">
        <v>5</v>
      </c>
      <c r="I32" s="179" t="s">
        <v>6</v>
      </c>
      <c r="J32" s="179" t="s">
        <v>168</v>
      </c>
      <c r="K32" s="179" t="s">
        <v>167</v>
      </c>
    </row>
    <row r="33" spans="2:11">
      <c r="B33" s="182"/>
      <c r="C33" s="183"/>
      <c r="D33" s="183"/>
      <c r="E33" s="184"/>
      <c r="F33" s="184"/>
      <c r="G33" s="184"/>
      <c r="H33" s="184"/>
      <c r="I33" s="184"/>
      <c r="J33" s="184"/>
      <c r="K33" s="184"/>
    </row>
    <row r="34" spans="2:11" ht="28.5">
      <c r="B34" s="185" t="s">
        <v>172</v>
      </c>
      <c r="C34" s="186" t="s">
        <v>339</v>
      </c>
      <c r="D34" s="196"/>
      <c r="E34" s="187"/>
      <c r="F34" s="187"/>
      <c r="G34" s="187"/>
      <c r="H34" s="187"/>
      <c r="I34" s="187"/>
      <c r="J34" s="187"/>
      <c r="K34" s="187"/>
    </row>
    <row r="35" spans="2:11" hidden="1">
      <c r="B35" s="229">
        <v>1</v>
      </c>
      <c r="C35" s="188" t="s">
        <v>360</v>
      </c>
      <c r="D35" s="196">
        <v>14</v>
      </c>
      <c r="E35" s="187">
        <f>('16.Facility 5 Agri Input'!D191/365)*$D$35</f>
        <v>0</v>
      </c>
      <c r="F35" s="187">
        <f>('16.Facility 5 Agri Input'!E191/365)*$D$35</f>
        <v>0</v>
      </c>
      <c r="G35" s="187">
        <f>('16.Facility 5 Agri Input'!F191/365)*$D$35</f>
        <v>0</v>
      </c>
      <c r="H35" s="187">
        <f>('16.Facility 5 Agri Input'!G191/365)*$D$35</f>
        <v>0</v>
      </c>
      <c r="I35" s="187">
        <f>('16.Facility 5 Agri Input'!H191/365)*$D$35</f>
        <v>0</v>
      </c>
      <c r="J35" s="187">
        <f>('16.Facility 5 Agri Input'!I191/365)*$D$35</f>
        <v>0</v>
      </c>
      <c r="K35" s="187">
        <f>('16.Facility 5 Agri Input'!J191/365)*$D$35</f>
        <v>0</v>
      </c>
    </row>
    <row r="36" spans="2:11" hidden="1">
      <c r="B36" s="229">
        <v>2</v>
      </c>
      <c r="C36" s="188" t="s">
        <v>356</v>
      </c>
      <c r="D36" s="196">
        <v>14</v>
      </c>
      <c r="E36" s="187">
        <f>('15. Facility 4 Custom Hiring'!E37/365)*$D$36</f>
        <v>0</v>
      </c>
      <c r="F36" s="187">
        <f>('15. Facility 4 Custom Hiring'!F37/365)*$D$36</f>
        <v>0</v>
      </c>
      <c r="G36" s="187">
        <f>('15. Facility 4 Custom Hiring'!G37/365)*$D$36</f>
        <v>0</v>
      </c>
      <c r="H36" s="187">
        <f>('15. Facility 4 Custom Hiring'!H37/365)*$D$36</f>
        <v>0</v>
      </c>
      <c r="I36" s="187">
        <f>('15. Facility 4 Custom Hiring'!I37/365)*$D$36</f>
        <v>0</v>
      </c>
      <c r="J36" s="187">
        <f>('15. Facility 4 Custom Hiring'!J37/365)*$D$36</f>
        <v>0</v>
      </c>
      <c r="K36" s="187">
        <f>('15. Facility 4 Custom Hiring'!K37/365)*$D$36</f>
        <v>0</v>
      </c>
    </row>
    <row r="37" spans="2:11">
      <c r="B37" s="229">
        <v>3</v>
      </c>
      <c r="C37" s="188" t="s">
        <v>731</v>
      </c>
      <c r="D37" s="196">
        <v>14</v>
      </c>
      <c r="E37" s="187">
        <f>('12.Facility 1 - Flour Mill'!D183/365)*$D$37</f>
        <v>916944.69400132587</v>
      </c>
      <c r="F37" s="187">
        <f>('12.Facility 1 - Flour Mill'!E183/365)*$D$37</f>
        <v>1173930.5095569605</v>
      </c>
      <c r="G37" s="187">
        <f>('12.Facility 1 - Flour Mill'!F183/365)*$D$37</f>
        <v>1409983.4429534865</v>
      </c>
      <c r="H37" s="187">
        <f>('12.Facility 1 - Flour Mill'!G183/365)*$D$37</f>
        <v>1666706.8434157721</v>
      </c>
      <c r="I37" s="187">
        <f>('12.Facility 1 - Flour Mill'!H183/365)*$D$37</f>
        <v>1945577.625316903</v>
      </c>
      <c r="J37" s="187">
        <f>('12.Facility 1 - Flour Mill'!I183/365)*$D$37</f>
        <v>2248168.7182996073</v>
      </c>
      <c r="K37" s="187">
        <f>('12.Facility 1 - Flour Mill'!J183/365)*$D$37</f>
        <v>2576154.9765172899</v>
      </c>
    </row>
    <row r="38" spans="2:11">
      <c r="B38" s="229">
        <v>4</v>
      </c>
      <c r="C38" s="188" t="s">
        <v>775</v>
      </c>
      <c r="D38" s="196">
        <v>14</v>
      </c>
      <c r="E38" s="187">
        <f>('13.Facility 2 Cleaning &amp; Gradin'!D144/365)*$D$38</f>
        <v>971329.07591520518</v>
      </c>
      <c r="F38" s="187">
        <f>('13.Facility 2 Cleaning &amp; Gradin'!E144/365)*$D$38</f>
        <v>1169549.4927063019</v>
      </c>
      <c r="G38" s="187">
        <f>('13.Facility 2 Cleaning &amp; Gradin'!F144/365)*$D$38</f>
        <v>1340829.6613853206</v>
      </c>
      <c r="H38" s="187">
        <f>('13.Facility 2 Cleaning &amp; Gradin'!G144/365)*$D$38</f>
        <v>1526313.9732004753</v>
      </c>
      <c r="I38" s="187">
        <f>('13.Facility 2 Cleaning &amp; Gradin'!H144/365)*$D$38</f>
        <v>1726994.6420436823</v>
      </c>
      <c r="J38" s="187">
        <f>('13.Facility 2 Cleaning &amp; Gradin'!I144/365)*$D$38</f>
        <v>1943927.5928382087</v>
      </c>
      <c r="K38" s="187">
        <f>('13.Facility 2 Cleaning &amp; Gradin'!J144/365)*$D$38</f>
        <v>2178236.3521070788</v>
      </c>
    </row>
    <row r="39" spans="2:11">
      <c r="B39" s="229">
        <v>5</v>
      </c>
      <c r="C39" s="188" t="s">
        <v>294</v>
      </c>
      <c r="D39" s="196">
        <v>14</v>
      </c>
      <c r="E39" s="187">
        <f>('14. Facility 3 Warehouse'!D23/365)*$D$39</f>
        <v>44186.301369863009</v>
      </c>
      <c r="F39" s="187">
        <f>('14. Facility 3 Warehouse'!E23/365)*$D$39</f>
        <v>49295.342465753434</v>
      </c>
      <c r="G39" s="187">
        <f>('14. Facility 3 Warehouse'!F23/365)*$D$39</f>
        <v>54804.821917808229</v>
      </c>
      <c r="H39" s="187">
        <f>('14. Facility 3 Warehouse'!G23/365)*$D$39</f>
        <v>60742.010958904139</v>
      </c>
      <c r="I39" s="187">
        <f>('14. Facility 3 Warehouse'!H23/365)*$D$39</f>
        <v>67135.906849315114</v>
      </c>
      <c r="J39" s="187">
        <f>('14. Facility 3 Warehouse'!I23/365)*$D$39</f>
        <v>70492.70219178086</v>
      </c>
      <c r="K39" s="187">
        <f>('14. Facility 3 Warehouse'!J23/365)*$D$39</f>
        <v>74017.337301369917</v>
      </c>
    </row>
    <row r="40" spans="2:11" hidden="1">
      <c r="B40" s="229">
        <v>6</v>
      </c>
      <c r="C40" s="188" t="s">
        <v>772</v>
      </c>
      <c r="D40" s="196">
        <v>14</v>
      </c>
      <c r="E40" s="187">
        <f>('17.Facility 6 Roasted Channa '!D159/365)*$D$40</f>
        <v>0</v>
      </c>
      <c r="F40" s="187">
        <f>('17.Facility 6 Roasted Channa '!E159/365)*$D$40</f>
        <v>0</v>
      </c>
      <c r="G40" s="187">
        <f>('17.Facility 6 Roasted Channa '!F159/365)*$D$40</f>
        <v>0</v>
      </c>
      <c r="H40" s="187">
        <f>('17.Facility 6 Roasted Channa '!G159/365)*$D$40</f>
        <v>0</v>
      </c>
      <c r="I40" s="187">
        <f>('17.Facility 6 Roasted Channa '!H159/365)*$D$40</f>
        <v>0</v>
      </c>
      <c r="J40" s="187">
        <f>('17.Facility 6 Roasted Channa '!I159/365)*$D$40</f>
        <v>0</v>
      </c>
      <c r="K40" s="187">
        <f>('17.Facility 6 Roasted Channa '!J159/365)*$D$40</f>
        <v>0</v>
      </c>
    </row>
    <row r="41" spans="2:11">
      <c r="B41" s="229"/>
      <c r="C41" s="188"/>
      <c r="D41" s="196"/>
      <c r="E41" s="187"/>
      <c r="F41" s="187"/>
      <c r="G41" s="187"/>
      <c r="H41" s="187"/>
      <c r="I41" s="187"/>
      <c r="J41" s="187"/>
      <c r="K41" s="187"/>
    </row>
    <row r="42" spans="2:11">
      <c r="B42" s="185"/>
      <c r="C42" s="186" t="s">
        <v>170</v>
      </c>
      <c r="D42" s="196"/>
      <c r="E42" s="187">
        <f>SUM(E35:E41)</f>
        <v>1932460.0712863943</v>
      </c>
      <c r="F42" s="187">
        <f t="shared" ref="F42:K42" si="8">SUM(F35:F41)</f>
        <v>2392775.3447290156</v>
      </c>
      <c r="G42" s="187">
        <f t="shared" si="8"/>
        <v>2805617.9262566152</v>
      </c>
      <c r="H42" s="187">
        <f t="shared" si="8"/>
        <v>3253762.8275751513</v>
      </c>
      <c r="I42" s="187">
        <f t="shared" si="8"/>
        <v>3739708.1742099002</v>
      </c>
      <c r="J42" s="187">
        <f t="shared" si="8"/>
        <v>4262589.0133295972</v>
      </c>
      <c r="K42" s="187">
        <f t="shared" si="8"/>
        <v>4828408.6659257384</v>
      </c>
    </row>
    <row r="43" spans="2:11">
      <c r="B43" s="185" t="s">
        <v>173</v>
      </c>
      <c r="C43" s="186" t="s">
        <v>338</v>
      </c>
      <c r="D43" s="196"/>
      <c r="E43" s="187">
        <f>'5.Closing Stock &amp; W Capital'!E21</f>
        <v>1531055.19286845</v>
      </c>
      <c r="F43" s="187">
        <f>'5.Closing Stock &amp; W Capital'!F21</f>
        <v>1845232.7830716937</v>
      </c>
      <c r="G43" s="187">
        <f>'5.Closing Stock &amp; W Capital'!G21</f>
        <v>2187000.494313091</v>
      </c>
      <c r="H43" s="187">
        <f>'5.Closing Stock &amp; W Capital'!H21</f>
        <v>2558331.8947209483</v>
      </c>
      <c r="I43" s="187">
        <f>'5.Closing Stock &amp; W Capital'!I21</f>
        <v>2961328.9339338094</v>
      </c>
      <c r="J43" s="187">
        <f>'5.Closing Stock &amp; W Capital'!J21</f>
        <v>3398229.8473311537</v>
      </c>
      <c r="K43" s="187">
        <f>'5.Closing Stock &amp; W Capital'!K21</f>
        <v>3871417.5297333989</v>
      </c>
    </row>
    <row r="44" spans="2:11">
      <c r="B44" s="185"/>
      <c r="C44" s="188"/>
      <c r="D44" s="196"/>
      <c r="E44" s="187"/>
      <c r="F44" s="187"/>
      <c r="G44" s="187"/>
      <c r="H44" s="187"/>
      <c r="I44" s="187"/>
      <c r="J44" s="187"/>
      <c r="K44" s="187"/>
    </row>
    <row r="45" spans="2:11">
      <c r="B45" s="410" t="s">
        <v>1</v>
      </c>
      <c r="C45" s="411"/>
      <c r="D45" s="205"/>
      <c r="E45" s="189">
        <f>SUM(E42:E43)</f>
        <v>3463515.264154844</v>
      </c>
      <c r="F45" s="189">
        <f t="shared" ref="F45:K45" si="9">SUM(F42:F43)</f>
        <v>4238008.1278007096</v>
      </c>
      <c r="G45" s="189">
        <f t="shared" si="9"/>
        <v>4992618.4205697067</v>
      </c>
      <c r="H45" s="189">
        <f t="shared" si="9"/>
        <v>5812094.7222961001</v>
      </c>
      <c r="I45" s="189">
        <f t="shared" si="9"/>
        <v>6701037.1081437096</v>
      </c>
      <c r="J45" s="189">
        <f t="shared" si="9"/>
        <v>7660818.8606607504</v>
      </c>
      <c r="K45" s="189">
        <f t="shared" si="9"/>
        <v>8699826.1956591383</v>
      </c>
    </row>
    <row r="46" spans="2:11">
      <c r="B46" s="185"/>
      <c r="C46" s="186"/>
      <c r="D46" s="196"/>
      <c r="E46" s="187"/>
      <c r="F46" s="187"/>
      <c r="G46" s="187"/>
      <c r="H46" s="187"/>
      <c r="I46" s="187"/>
      <c r="J46" s="187"/>
      <c r="K46" s="187"/>
    </row>
    <row r="47" spans="2:11" ht="34.5" customHeight="1">
      <c r="B47" s="185" t="s">
        <v>174</v>
      </c>
      <c r="C47" s="188" t="s">
        <v>340</v>
      </c>
      <c r="D47" s="196"/>
      <c r="E47" s="187"/>
      <c r="F47" s="187"/>
      <c r="G47" s="187"/>
      <c r="H47" s="187"/>
      <c r="I47" s="187"/>
      <c r="J47" s="187"/>
      <c r="K47" s="187"/>
    </row>
    <row r="48" spans="2:11" hidden="1">
      <c r="B48" s="229">
        <v>1</v>
      </c>
      <c r="C48" s="188" t="str">
        <f t="shared" ref="C48:C53" si="10">C35</f>
        <v>Agri Input</v>
      </c>
      <c r="D48" s="196">
        <v>7</v>
      </c>
      <c r="E48" s="187">
        <f>(SUM('16.Facility 5 Agri Input'!D198:D259)/365)*$D$48</f>
        <v>0</v>
      </c>
      <c r="F48" s="187">
        <f>(SUM('16.Facility 5 Agri Input'!E198:E259)/365)*$D$48</f>
        <v>0</v>
      </c>
      <c r="G48" s="187">
        <f>(SUM('16.Facility 5 Agri Input'!F198:F259)/365)*$D$48</f>
        <v>0</v>
      </c>
      <c r="H48" s="187">
        <f>(SUM('16.Facility 5 Agri Input'!G198:G259)/365)*$D$48</f>
        <v>0</v>
      </c>
      <c r="I48" s="187">
        <f>(SUM('16.Facility 5 Agri Input'!H198:H259)/365)*$D$48</f>
        <v>0</v>
      </c>
      <c r="J48" s="187">
        <f>(SUM('16.Facility 5 Agri Input'!I198:I259)/365)*$D$48</f>
        <v>0</v>
      </c>
      <c r="K48" s="187">
        <f>(SUM('16.Facility 5 Agri Input'!J198:J259)/365)*$D$48</f>
        <v>0</v>
      </c>
    </row>
    <row r="49" spans="1:12" hidden="1">
      <c r="B49" s="229">
        <v>2</v>
      </c>
      <c r="C49" s="188" t="str">
        <f t="shared" si="10"/>
        <v>Custom Hiring</v>
      </c>
      <c r="D49" s="196">
        <v>7</v>
      </c>
      <c r="E49" s="187">
        <f>('15. Facility 4 Custom Hiring'!E47/365)*$D$50</f>
        <v>0</v>
      </c>
      <c r="F49" s="187">
        <f>('15. Facility 4 Custom Hiring'!F47/365)*$D$50</f>
        <v>0</v>
      </c>
      <c r="G49" s="187">
        <f>('15. Facility 4 Custom Hiring'!G47/365)*$D$50</f>
        <v>0</v>
      </c>
      <c r="H49" s="187">
        <f>('15. Facility 4 Custom Hiring'!H47/365)*$D$50</f>
        <v>0</v>
      </c>
      <c r="I49" s="187">
        <f>('15. Facility 4 Custom Hiring'!I47/365)*$D$50</f>
        <v>0</v>
      </c>
      <c r="J49" s="187">
        <f>('15. Facility 4 Custom Hiring'!J47/365)*$D$50</f>
        <v>0</v>
      </c>
      <c r="K49" s="187">
        <f>('15. Facility 4 Custom Hiring'!K47/365)*$D$50</f>
        <v>0</v>
      </c>
    </row>
    <row r="50" spans="1:12">
      <c r="B50" s="229">
        <v>3</v>
      </c>
      <c r="C50" s="188" t="str">
        <f t="shared" si="10"/>
        <v>Flour Mill</v>
      </c>
      <c r="D50" s="196">
        <v>7</v>
      </c>
      <c r="E50" s="187">
        <f>(SUM('12.Facility 1 - Flour Mill'!D187:D197)/365)*$D$50</f>
        <v>432276.9251610082</v>
      </c>
      <c r="F50" s="187">
        <f>(SUM('12.Facility 1 - Flour Mill'!E187:E197)/365)*$D$50</f>
        <v>528693.67460612557</v>
      </c>
      <c r="G50" s="187">
        <f>(SUM('12.Facility 1 - Flour Mill'!F187:F197)/365)*$D$50</f>
        <v>633671.40668285207</v>
      </c>
      <c r="H50" s="187">
        <f>(SUM('12.Facility 1 - Flour Mill'!G187:G197)/365)*$D$50</f>
        <v>747825.17778073577</v>
      </c>
      <c r="I50" s="187">
        <f>(SUM('12.Facility 1 - Flour Mill'!H187:H197)/365)*$D$50</f>
        <v>871810.14747170079</v>
      </c>
      <c r="J50" s="187">
        <f>(SUM('12.Facility 1 - Flour Mill'!I187:I197)/365)*$D$50</f>
        <v>1006324.0511873107</v>
      </c>
      <c r="K50" s="187">
        <f>(SUM('12.Facility 1 - Flour Mill'!J187:J197)/365)*$D$50</f>
        <v>1152109.8199058024</v>
      </c>
    </row>
    <row r="51" spans="1:12">
      <c r="B51" s="229">
        <v>4</v>
      </c>
      <c r="C51" s="188" t="str">
        <f t="shared" si="10"/>
        <v>Cleaning &amp; Grading</v>
      </c>
      <c r="D51" s="196">
        <v>7</v>
      </c>
      <c r="E51" s="187">
        <f>(SUM('13.Facility 2 Cleaning &amp; Gradin'!D151:D159)/365)*$D$51</f>
        <v>154977.12141867119</v>
      </c>
      <c r="F51" s="187">
        <f>(SUM('13.Facility 2 Cleaning &amp; Gradin'!E151:E159)/365)*$D$51</f>
        <v>179066.84492822277</v>
      </c>
      <c r="G51" s="187">
        <f>(SUM('13.Facility 2 Cleaning &amp; Gradin'!F151:F159)/365)*$D$51</f>
        <v>205178.09798518283</v>
      </c>
      <c r="H51" s="187">
        <f>(SUM('13.Facility 2 Cleaning &amp; Gradin'!G151:G159)/365)*$D$51</f>
        <v>233452.80923551839</v>
      </c>
      <c r="I51" s="187">
        <f>(SUM('13.Facility 2 Cleaning &amp; Gradin'!H151:H159)/365)*$D$51</f>
        <v>264042.04636592459</v>
      </c>
      <c r="J51" s="187">
        <f>(SUM('13.Facility 2 Cleaning &amp; Gradin'!I151:I159)/365)*$D$51</f>
        <v>297106.57518628245</v>
      </c>
      <c r="K51" s="187">
        <f>(SUM('13.Facility 2 Cleaning &amp; Gradin'!J151:J159)/365)*$D$51</f>
        <v>332817.45177276136</v>
      </c>
    </row>
    <row r="52" spans="1:12">
      <c r="B52" s="229">
        <v>5</v>
      </c>
      <c r="C52" s="188" t="str">
        <f t="shared" si="10"/>
        <v>Warehouse</v>
      </c>
      <c r="D52" s="196">
        <v>7</v>
      </c>
      <c r="E52" s="187">
        <f>('14. Facility 3 Warehouse'!D34/365)*$D$52</f>
        <v>8035.6164383561636</v>
      </c>
      <c r="F52" s="187">
        <f>('14. Facility 3 Warehouse'!E34/365)*$D$52</f>
        <v>8437.3972602739723</v>
      </c>
      <c r="G52" s="187">
        <f>('14. Facility 3 Warehouse'!F34/365)*$D$52</f>
        <v>8859.267123287671</v>
      </c>
      <c r="H52" s="187">
        <f>('14. Facility 3 Warehouse'!G34/365)*$D$52</f>
        <v>9302.2304794520569</v>
      </c>
      <c r="I52" s="187">
        <f>('14. Facility 3 Warehouse'!H34/365)*$D$52</f>
        <v>9767.3420034246574</v>
      </c>
      <c r="J52" s="187">
        <f>('14. Facility 3 Warehouse'!I34/365)*$D$52</f>
        <v>10255.709103595893</v>
      </c>
      <c r="K52" s="187">
        <f>('14. Facility 3 Warehouse'!J34/365)*$D$52</f>
        <v>10768.494558775687</v>
      </c>
    </row>
    <row r="53" spans="1:12" hidden="1">
      <c r="B53" s="229">
        <v>6</v>
      </c>
      <c r="C53" s="188" t="str">
        <f t="shared" si="10"/>
        <v>Roasted Channa</v>
      </c>
      <c r="D53" s="196">
        <v>7</v>
      </c>
      <c r="E53" s="187">
        <f>('17.Facility 6 Roasted Channa '!D177/365)*$D$53</f>
        <v>0</v>
      </c>
      <c r="F53" s="187">
        <f>('17.Facility 6 Roasted Channa '!E177/365)*$D$53</f>
        <v>0</v>
      </c>
      <c r="G53" s="187">
        <f>('17.Facility 6 Roasted Channa '!F177/365)*$D$53</f>
        <v>0</v>
      </c>
      <c r="H53" s="187">
        <f>('17.Facility 6 Roasted Channa '!G177/365)*$D$53</f>
        <v>0</v>
      </c>
      <c r="I53" s="187">
        <f>('17.Facility 6 Roasted Channa '!H177/365)*$D$53</f>
        <v>0</v>
      </c>
      <c r="J53" s="187">
        <f>('17.Facility 6 Roasted Channa '!I177/365)*$D$53</f>
        <v>0</v>
      </c>
      <c r="K53" s="187"/>
    </row>
    <row r="54" spans="1:12">
      <c r="B54" s="229"/>
      <c r="C54" s="188"/>
      <c r="D54" s="196"/>
      <c r="E54" s="187"/>
      <c r="F54" s="187"/>
      <c r="G54" s="187"/>
      <c r="H54" s="187"/>
      <c r="I54" s="187"/>
      <c r="J54" s="187"/>
      <c r="K54" s="187"/>
    </row>
    <row r="55" spans="1:12">
      <c r="B55" s="180"/>
      <c r="C55" s="186" t="s">
        <v>1</v>
      </c>
      <c r="D55" s="196"/>
      <c r="E55" s="189">
        <f>SUM(E48:E54)</f>
        <v>595289.66301803547</v>
      </c>
      <c r="F55" s="189">
        <f t="shared" ref="F55:K55" si="11">SUM(F48:F54)</f>
        <v>716197.9167946222</v>
      </c>
      <c r="G55" s="189">
        <f t="shared" si="11"/>
        <v>847708.77179132251</v>
      </c>
      <c r="H55" s="189">
        <f t="shared" si="11"/>
        <v>990580.21749570617</v>
      </c>
      <c r="I55" s="189">
        <f t="shared" si="11"/>
        <v>1145619.5358410501</v>
      </c>
      <c r="J55" s="189">
        <f t="shared" si="11"/>
        <v>1313686.3354771892</v>
      </c>
      <c r="K55" s="189">
        <f t="shared" si="11"/>
        <v>1495695.7662373395</v>
      </c>
    </row>
    <row r="56" spans="1:12">
      <c r="B56" s="185" t="s">
        <v>175</v>
      </c>
      <c r="C56" s="186" t="s">
        <v>156</v>
      </c>
      <c r="D56" s="196"/>
      <c r="E56" s="189">
        <f>E45-E55</f>
        <v>2868225.6011368083</v>
      </c>
      <c r="F56" s="189">
        <f t="shared" ref="F56:K56" si="12">F45-F55</f>
        <v>3521810.2110060873</v>
      </c>
      <c r="G56" s="189">
        <f t="shared" si="12"/>
        <v>4144909.6487783841</v>
      </c>
      <c r="H56" s="189">
        <f t="shared" si="12"/>
        <v>4821514.5048003942</v>
      </c>
      <c r="I56" s="189">
        <f t="shared" si="12"/>
        <v>5555417.57230266</v>
      </c>
      <c r="J56" s="189">
        <f t="shared" si="12"/>
        <v>6347132.5251835613</v>
      </c>
      <c r="K56" s="189">
        <f t="shared" si="12"/>
        <v>7204130.4294217993</v>
      </c>
    </row>
    <row r="57" spans="1:12">
      <c r="B57" s="185"/>
      <c r="C57" s="186" t="s">
        <v>135</v>
      </c>
      <c r="D57" s="237">
        <v>0.25</v>
      </c>
      <c r="E57" s="189">
        <f>E56*$D$57</f>
        <v>717056.40028420207</v>
      </c>
      <c r="F57" s="189"/>
      <c r="G57" s="189"/>
      <c r="H57" s="189"/>
      <c r="I57" s="189"/>
      <c r="J57" s="189"/>
      <c r="K57" s="189"/>
    </row>
    <row r="59" spans="1:12">
      <c r="E59" s="22"/>
    </row>
    <row r="60" spans="1:12" ht="36.950000000000003" customHeight="1">
      <c r="A60" s="431" t="s">
        <v>402</v>
      </c>
      <c r="B60" s="431"/>
      <c r="C60" s="431"/>
      <c r="D60" s="431"/>
      <c r="E60" s="431"/>
      <c r="F60" s="431"/>
      <c r="G60" s="431"/>
      <c r="H60" s="431"/>
      <c r="I60" s="431"/>
      <c r="J60" s="431"/>
      <c r="K60" s="431"/>
      <c r="L60" s="431"/>
    </row>
    <row r="61" spans="1:12">
      <c r="A61" t="s">
        <v>525</v>
      </c>
    </row>
    <row r="62" spans="1:12">
      <c r="A62">
        <v>1</v>
      </c>
      <c r="B62" t="s">
        <v>526</v>
      </c>
    </row>
    <row r="63" spans="1:12">
      <c r="A63">
        <v>2</v>
      </c>
      <c r="B63" t="s">
        <v>527</v>
      </c>
    </row>
    <row r="64" spans="1:12">
      <c r="A64">
        <v>3</v>
      </c>
      <c r="B64" t="s">
        <v>528</v>
      </c>
    </row>
    <row r="67" spans="5:11">
      <c r="E67" s="22"/>
      <c r="F67" s="52"/>
      <c r="G67" s="52"/>
      <c r="H67" s="52"/>
      <c r="I67" s="52"/>
      <c r="J67" s="52"/>
      <c r="K67" s="52"/>
    </row>
    <row r="68" spans="5:11">
      <c r="E68" s="52"/>
      <c r="G68" s="52"/>
      <c r="H68" s="52"/>
      <c r="I68" s="52"/>
      <c r="J68" s="52"/>
      <c r="K68" s="52"/>
    </row>
    <row r="69" spans="5:11">
      <c r="E69" s="52"/>
      <c r="I69" s="52"/>
      <c r="J69" s="52"/>
      <c r="K69" s="52"/>
    </row>
    <row r="70" spans="5:11">
      <c r="E70" s="22"/>
    </row>
    <row r="71" spans="5:11">
      <c r="E71" s="22"/>
      <c r="F71" s="22"/>
      <c r="G71" s="22"/>
      <c r="H71" s="22"/>
    </row>
  </sheetData>
  <mergeCells count="13">
    <mergeCell ref="N6:R6"/>
    <mergeCell ref="U5:V5"/>
    <mergeCell ref="U6:V6"/>
    <mergeCell ref="C2:K2"/>
    <mergeCell ref="A24:K24"/>
    <mergeCell ref="N5:R5"/>
    <mergeCell ref="A60:L60"/>
    <mergeCell ref="B29:K29"/>
    <mergeCell ref="B31:B32"/>
    <mergeCell ref="C31:C32"/>
    <mergeCell ref="B45:C45"/>
    <mergeCell ref="D31:D32"/>
    <mergeCell ref="E31:K31"/>
  </mergeCells>
  <pageMargins left="0.7" right="0.7" top="0.75" bottom="0.75" header="0.3" footer="0.3"/>
  <pageSetup paperSize="9"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58"/>
  <sheetViews>
    <sheetView view="pageBreakPreview" zoomScale="80" zoomScaleSheetLayoutView="80" workbookViewId="0">
      <selection activeCell="G15" sqref="G15"/>
    </sheetView>
  </sheetViews>
  <sheetFormatPr defaultRowHeight="15"/>
  <cols>
    <col min="1" max="1" width="40.5703125" bestFit="1" customWidth="1"/>
    <col min="2" max="5" width="13.42578125" bestFit="1" customWidth="1"/>
    <col min="6" max="6" width="13.140625" bestFit="1" customWidth="1"/>
    <col min="7" max="8" width="14.140625" bestFit="1" customWidth="1"/>
    <col min="9" max="9" width="8.5703125" customWidth="1"/>
    <col min="10" max="15" width="11.7109375" bestFit="1" customWidth="1"/>
    <col min="16" max="16" width="12.28515625" bestFit="1" customWidth="1"/>
  </cols>
  <sheetData>
    <row r="2" spans="1:16" ht="18.75">
      <c r="A2" s="404" t="s">
        <v>546</v>
      </c>
      <c r="B2" s="404"/>
      <c r="C2" s="404"/>
      <c r="D2" s="404"/>
      <c r="E2" s="404"/>
      <c r="F2" s="404"/>
      <c r="G2" s="404"/>
      <c r="H2" s="404"/>
    </row>
    <row r="4" spans="1:16">
      <c r="B4" s="4"/>
      <c r="C4" s="4"/>
      <c r="D4" s="4"/>
      <c r="E4" s="4"/>
      <c r="F4" s="4"/>
    </row>
    <row r="5" spans="1:16">
      <c r="A5" s="124" t="s">
        <v>0</v>
      </c>
      <c r="B5" s="96" t="s">
        <v>2</v>
      </c>
      <c r="C5" s="96" t="s">
        <v>3</v>
      </c>
      <c r="D5" s="96" t="s">
        <v>4</v>
      </c>
      <c r="E5" s="96" t="s">
        <v>5</v>
      </c>
      <c r="F5" s="96" t="s">
        <v>6</v>
      </c>
      <c r="G5" s="96" t="s">
        <v>168</v>
      </c>
      <c r="H5" s="96" t="s">
        <v>167</v>
      </c>
    </row>
    <row r="6" spans="1:16">
      <c r="A6" s="75" t="s">
        <v>127</v>
      </c>
      <c r="B6" s="73"/>
      <c r="C6" s="73"/>
      <c r="D6" s="73"/>
      <c r="E6" s="73"/>
      <c r="F6" s="73"/>
      <c r="G6" s="73"/>
      <c r="H6" s="73"/>
    </row>
    <row r="7" spans="1:16">
      <c r="A7" s="73"/>
      <c r="B7" s="73"/>
      <c r="C7" s="73"/>
      <c r="D7" s="73"/>
      <c r="E7" s="73"/>
      <c r="F7" s="73"/>
      <c r="G7" s="73"/>
      <c r="H7" s="73"/>
    </row>
    <row r="8" spans="1:16">
      <c r="A8" s="73" t="s">
        <v>732</v>
      </c>
      <c r="B8" s="74">
        <f>'12.Facility 1 - Flour Mill'!D183</f>
        <v>23906058.093605995</v>
      </c>
      <c r="C8" s="74">
        <f>'12.Facility 1 - Flour Mill'!E183</f>
        <v>30606045.427735046</v>
      </c>
      <c r="D8" s="74">
        <f>'12.Facility 1 - Flour Mill'!F183</f>
        <v>36760282.619858757</v>
      </c>
      <c r="E8" s="74">
        <f>'12.Facility 1 - Flour Mill'!G183</f>
        <v>43453428.417625487</v>
      </c>
      <c r="F8" s="74">
        <f>'12.Facility 1 - Flour Mill'!H183</f>
        <v>50723988.088619255</v>
      </c>
      <c r="G8" s="74">
        <f>'12.Facility 1 - Flour Mill'!I183</f>
        <v>58612970.155668333</v>
      </c>
      <c r="H8" s="74">
        <f>'12.Facility 1 - Flour Mill'!J183</f>
        <v>67164040.45920077</v>
      </c>
      <c r="J8" s="52"/>
      <c r="K8" s="52"/>
      <c r="L8" s="52"/>
      <c r="M8" s="52"/>
      <c r="N8" s="52"/>
      <c r="O8" s="52"/>
      <c r="P8" s="52"/>
    </row>
    <row r="9" spans="1:16">
      <c r="A9" s="73" t="s">
        <v>814</v>
      </c>
      <c r="B9" s="74">
        <f>'13.Facility 2 Cleaning &amp; Gradin'!D144</f>
        <v>25323936.622074995</v>
      </c>
      <c r="C9" s="74">
        <f>'13.Facility 2 Cleaning &amp; Gradin'!E144</f>
        <v>30491826.05984287</v>
      </c>
      <c r="D9" s="74">
        <f>'13.Facility 2 Cleaning &amp; Gradin'!F144</f>
        <v>34957344.743260145</v>
      </c>
      <c r="E9" s="74">
        <f>'13.Facility 2 Cleaning &amp; Gradin'!G144</f>
        <v>39793185.729869537</v>
      </c>
      <c r="F9" s="74">
        <f>'13.Facility 2 Cleaning &amp; Gradin'!H144</f>
        <v>45025217.453281716</v>
      </c>
      <c r="G9" s="74">
        <f>'13.Facility 2 Cleaning &amp; Gradin'!I144</f>
        <v>50680969.384710439</v>
      </c>
      <c r="H9" s="74">
        <f>'13.Facility 2 Cleaning &amp; Gradin'!J144</f>
        <v>56789733.465648837</v>
      </c>
      <c r="J9" s="52"/>
      <c r="K9" s="52"/>
      <c r="L9" s="52"/>
      <c r="M9" s="52"/>
      <c r="N9" s="52"/>
      <c r="O9" s="52"/>
    </row>
    <row r="10" spans="1:16">
      <c r="A10" s="73" t="s">
        <v>500</v>
      </c>
      <c r="B10" s="74">
        <f>'14. Facility 3 Warehouse'!D23</f>
        <v>1152000</v>
      </c>
      <c r="C10" s="74">
        <f>'14. Facility 3 Warehouse'!E23</f>
        <v>1285200.0000000002</v>
      </c>
      <c r="D10" s="74">
        <f>'14. Facility 3 Warehouse'!F23</f>
        <v>1428840.0000000002</v>
      </c>
      <c r="E10" s="74">
        <f>'14. Facility 3 Warehouse'!G23</f>
        <v>1583631.0000000007</v>
      </c>
      <c r="F10" s="74">
        <f>'14. Facility 3 Warehouse'!H23</f>
        <v>1750329.0000000009</v>
      </c>
      <c r="G10" s="74">
        <f>'14. Facility 3 Warehouse'!I23</f>
        <v>1837845.4500000011</v>
      </c>
      <c r="H10" s="74">
        <f>'14. Facility 3 Warehouse'!J23</f>
        <v>1929737.7225000013</v>
      </c>
      <c r="J10" s="52"/>
      <c r="K10" s="52"/>
      <c r="L10" s="52"/>
      <c r="M10" s="52"/>
      <c r="N10" s="52"/>
      <c r="O10" s="52"/>
    </row>
    <row r="11" spans="1:16" hidden="1">
      <c r="A11" s="73" t="s">
        <v>501</v>
      </c>
      <c r="B11" s="74">
        <f>'15. Facility 4 Custom Hiring'!E37</f>
        <v>0</v>
      </c>
      <c r="C11" s="74">
        <f>'15. Facility 4 Custom Hiring'!F37</f>
        <v>0</v>
      </c>
      <c r="D11" s="74">
        <f>'15. Facility 4 Custom Hiring'!G37</f>
        <v>0</v>
      </c>
      <c r="E11" s="74">
        <f>'15. Facility 4 Custom Hiring'!H37</f>
        <v>0</v>
      </c>
      <c r="F11" s="74">
        <f>'15. Facility 4 Custom Hiring'!I37</f>
        <v>0</v>
      </c>
      <c r="G11" s="74">
        <f>'15. Facility 4 Custom Hiring'!J37</f>
        <v>0</v>
      </c>
      <c r="H11" s="74">
        <f>'15. Facility 4 Custom Hiring'!K37</f>
        <v>0</v>
      </c>
      <c r="J11" s="52"/>
      <c r="K11" s="52"/>
      <c r="L11" s="52"/>
      <c r="M11" s="52"/>
      <c r="N11" s="52"/>
      <c r="O11" s="52"/>
    </row>
    <row r="12" spans="1:16" hidden="1">
      <c r="A12" s="73" t="s">
        <v>497</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c r="J12" s="52"/>
      <c r="K12" s="52"/>
      <c r="L12" s="52"/>
      <c r="M12" s="52"/>
      <c r="N12" s="52"/>
      <c r="O12" s="52"/>
    </row>
    <row r="13" spans="1:16" hidden="1">
      <c r="A13" s="73" t="s">
        <v>781</v>
      </c>
      <c r="B13" s="74">
        <f>'17.Facility 6 Roasted Channa '!D159</f>
        <v>0</v>
      </c>
      <c r="C13" s="74">
        <f>'17.Facility 6 Roasted Channa '!E159</f>
        <v>0</v>
      </c>
      <c r="D13" s="74">
        <f>'17.Facility 6 Roasted Channa '!F159</f>
        <v>0</v>
      </c>
      <c r="E13" s="74">
        <f>'17.Facility 6 Roasted Channa '!G159</f>
        <v>0</v>
      </c>
      <c r="F13" s="74">
        <f>'17.Facility 6 Roasted Channa '!H159</f>
        <v>0</v>
      </c>
      <c r="G13" s="74">
        <f>'17.Facility 6 Roasted Channa '!I159</f>
        <v>0</v>
      </c>
      <c r="H13" s="74">
        <f>'17.Facility 6 Roasted Channa '!J159</f>
        <v>0</v>
      </c>
      <c r="J13" s="52"/>
      <c r="K13" s="52"/>
      <c r="L13" s="52"/>
      <c r="M13" s="52"/>
      <c r="N13" s="52"/>
      <c r="O13" s="52"/>
    </row>
    <row r="14" spans="1:16">
      <c r="A14" s="73"/>
      <c r="B14" s="74"/>
      <c r="C14" s="74"/>
      <c r="D14" s="74"/>
      <c r="E14" s="74"/>
      <c r="F14" s="74"/>
      <c r="G14" s="74"/>
      <c r="H14" s="74"/>
      <c r="J14" s="52"/>
    </row>
    <row r="15" spans="1:16">
      <c r="A15" s="75" t="s">
        <v>143</v>
      </c>
      <c r="B15" s="91">
        <f>SUM(B8:B14)</f>
        <v>50381994.715680987</v>
      </c>
      <c r="C15" s="91">
        <f t="shared" ref="C15:H15" si="0">SUM(C8:C14)</f>
        <v>62383071.487577915</v>
      </c>
      <c r="D15" s="91">
        <f t="shared" si="0"/>
        <v>73146467.363118902</v>
      </c>
      <c r="E15" s="91">
        <f t="shared" si="0"/>
        <v>84830245.147495031</v>
      </c>
      <c r="F15" s="91">
        <f t="shared" si="0"/>
        <v>97499534.541900963</v>
      </c>
      <c r="G15" s="91">
        <f t="shared" si="0"/>
        <v>111131784.99037878</v>
      </c>
      <c r="H15" s="91">
        <f t="shared" si="0"/>
        <v>125883511.6473496</v>
      </c>
    </row>
    <row r="16" spans="1:16">
      <c r="A16" s="73"/>
      <c r="B16" s="74"/>
      <c r="C16" s="74"/>
      <c r="D16" s="74"/>
      <c r="E16" s="74"/>
      <c r="F16" s="74"/>
      <c r="G16" s="74"/>
      <c r="H16" s="74"/>
    </row>
    <row r="17" spans="1:10">
      <c r="A17" s="75" t="s">
        <v>305</v>
      </c>
      <c r="B17" s="74"/>
      <c r="C17" s="74"/>
      <c r="D17" s="74"/>
      <c r="E17" s="74"/>
      <c r="F17" s="74"/>
      <c r="G17" s="74"/>
      <c r="H17" s="74"/>
    </row>
    <row r="18" spans="1:10">
      <c r="A18" s="73" t="str">
        <f t="shared" ref="A18:A23" si="1">A8</f>
        <v>Activity 1 - Flour Mill</v>
      </c>
      <c r="B18" s="74">
        <f>'12.Facility 1 - Flour Mill'!D201</f>
        <v>21413146.257082801</v>
      </c>
      <c r="C18" s="74">
        <f>'12.Facility 1 - Flour Mill'!E201</f>
        <v>27316226.507694628</v>
      </c>
      <c r="D18" s="74">
        <f>'12.Facility 1 - Flour Mill'!F201</f>
        <v>32767745.68983439</v>
      </c>
      <c r="E18" s="74">
        <f>'12.Facility 1 - Flour Mill'!G201</f>
        <v>38696126.223918885</v>
      </c>
      <c r="F18" s="74">
        <f>'12.Facility 1 - Flour Mill'!H201</f>
        <v>45135425.447187245</v>
      </c>
      <c r="G18" s="74">
        <f>'12.Facility 1 - Flour Mill'!I201</f>
        <v>52121914.277222648</v>
      </c>
      <c r="H18" s="74">
        <f>'12.Facility 1 - Flour Mill'!J201</f>
        <v>59694213.426643625</v>
      </c>
    </row>
    <row r="19" spans="1:10">
      <c r="A19" s="73" t="str">
        <f t="shared" si="1"/>
        <v>Activity 2 - Cleaning &amp; Grading Unit</v>
      </c>
      <c r="B19" s="74">
        <f>'13.Facility 2 Cleaning &amp; Gradin'!D163</f>
        <v>22447378.907417741</v>
      </c>
      <c r="C19" s="74">
        <f>'13.Facility 2 Cleaning &amp; Gradin'!E163</f>
        <v>26334151.921036001</v>
      </c>
      <c r="D19" s="74">
        <f>'13.Facility 2 Cleaning &amp; Gradin'!F163</f>
        <v>30171836.894686028</v>
      </c>
      <c r="E19" s="74">
        <f>'13.Facility 2 Cleaning &amp; Gradin'!G163</f>
        <v>34327454.98589848</v>
      </c>
      <c r="F19" s="74">
        <f>'13.Facility 2 Cleaning &amp; Gradin'!H163</f>
        <v>38823205.293995447</v>
      </c>
      <c r="G19" s="74">
        <f>'13.Facility 2 Cleaning &amp; Gradin'!I163</f>
        <v>43682711.995437391</v>
      </c>
      <c r="H19" s="74">
        <f>'13.Facility 2 Cleaning &amp; Gradin'!J163</f>
        <v>48931111.353788517</v>
      </c>
    </row>
    <row r="20" spans="1:10">
      <c r="A20" s="73" t="str">
        <f t="shared" si="1"/>
        <v>Faclitiy 3 - Warehouse</v>
      </c>
      <c r="B20" s="74">
        <f>'14. Facility 3 Warehouse'!D34</f>
        <v>419000</v>
      </c>
      <c r="C20" s="74">
        <f>'14. Facility 3 Warehouse'!E34</f>
        <v>439950</v>
      </c>
      <c r="D20" s="74">
        <f>'14. Facility 3 Warehouse'!F34</f>
        <v>461947.5</v>
      </c>
      <c r="E20" s="74">
        <f>'14. Facility 3 Warehouse'!G34</f>
        <v>485044.87500000006</v>
      </c>
      <c r="F20" s="74">
        <f>'14. Facility 3 Warehouse'!H34</f>
        <v>509297.11875000002</v>
      </c>
      <c r="G20" s="74">
        <f>'14. Facility 3 Warehouse'!I34</f>
        <v>534761.97468750016</v>
      </c>
      <c r="H20" s="74">
        <f>'14. Facility 3 Warehouse'!J34</f>
        <v>561500.07342187513</v>
      </c>
    </row>
    <row r="21" spans="1:10" hidden="1">
      <c r="A21" s="73" t="str">
        <f t="shared" si="1"/>
        <v xml:space="preserve">Faclitiy 4 - Custom Hiring </v>
      </c>
      <c r="B21" s="74">
        <f>'15. Facility 4 Custom Hiring'!E47</f>
        <v>0</v>
      </c>
      <c r="C21" s="74">
        <f>'15. Facility 4 Custom Hiring'!F47</f>
        <v>0</v>
      </c>
      <c r="D21" s="74">
        <f>'15. Facility 4 Custom Hiring'!G47</f>
        <v>0</v>
      </c>
      <c r="E21" s="74">
        <f>'15. Facility 4 Custom Hiring'!H47</f>
        <v>0</v>
      </c>
      <c r="F21" s="74">
        <f>'15. Facility 4 Custom Hiring'!I47</f>
        <v>0</v>
      </c>
      <c r="G21" s="74">
        <f>'15. Facility 4 Custom Hiring'!J47</f>
        <v>0</v>
      </c>
      <c r="H21" s="74">
        <f>'15. Facility 4 Custom Hiring'!K47</f>
        <v>0</v>
      </c>
    </row>
    <row r="22" spans="1:10" hidden="1">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10" hidden="1">
      <c r="A23" s="73" t="str">
        <f t="shared" si="1"/>
        <v>Facility 4 - Roasted Channa</v>
      </c>
      <c r="B23" s="74">
        <f>'17.Facility 6 Roasted Channa '!D177</f>
        <v>0</v>
      </c>
      <c r="C23" s="74">
        <f>'17.Facility 6 Roasted Channa '!E177</f>
        <v>0</v>
      </c>
      <c r="D23" s="74">
        <f>'17.Facility 6 Roasted Channa '!F177</f>
        <v>0</v>
      </c>
      <c r="E23" s="74">
        <f>'17.Facility 6 Roasted Channa '!G177</f>
        <v>0</v>
      </c>
      <c r="F23" s="74">
        <f>'17.Facility 6 Roasted Channa '!H177</f>
        <v>0</v>
      </c>
      <c r="G23" s="74">
        <f>'17.Facility 6 Roasted Channa '!I177</f>
        <v>0</v>
      </c>
      <c r="H23" s="74">
        <f>'17.Facility 6 Roasted Channa '!J177</f>
        <v>0</v>
      </c>
    </row>
    <row r="24" spans="1:10">
      <c r="A24" s="73"/>
      <c r="B24" s="74"/>
      <c r="C24" s="74"/>
      <c r="D24" s="74"/>
      <c r="E24" s="74"/>
      <c r="F24" s="74"/>
      <c r="G24" s="74"/>
      <c r="H24" s="74"/>
    </row>
    <row r="25" spans="1:10">
      <c r="A25" s="75" t="s">
        <v>312</v>
      </c>
      <c r="B25" s="91">
        <f>SUM(B18:B24)</f>
        <v>44279525.164500542</v>
      </c>
      <c r="C25" s="91">
        <f t="shared" ref="C25:H25" si="2">SUM(C18:C24)</f>
        <v>54090328.428730629</v>
      </c>
      <c r="D25" s="91">
        <f t="shared" si="2"/>
        <v>63401530.084520414</v>
      </c>
      <c r="E25" s="91">
        <f t="shared" si="2"/>
        <v>73508626.084817365</v>
      </c>
      <c r="F25" s="91">
        <f t="shared" si="2"/>
        <v>84467927.859932691</v>
      </c>
      <c r="G25" s="91">
        <f t="shared" si="2"/>
        <v>96339388.247347549</v>
      </c>
      <c r="H25" s="91">
        <f t="shared" si="2"/>
        <v>109186824.85385402</v>
      </c>
      <c r="J25" s="22"/>
    </row>
    <row r="26" spans="1:10">
      <c r="A26" s="73"/>
      <c r="B26" s="74"/>
      <c r="C26" s="74"/>
      <c r="D26" s="74"/>
      <c r="E26" s="74"/>
      <c r="F26" s="74"/>
      <c r="G26" s="74"/>
      <c r="H26" s="74"/>
    </row>
    <row r="27" spans="1:10">
      <c r="A27" s="75" t="s">
        <v>304</v>
      </c>
      <c r="B27" s="74"/>
      <c r="C27" s="74"/>
      <c r="D27" s="74"/>
      <c r="E27" s="74"/>
      <c r="F27" s="74"/>
      <c r="G27" s="74"/>
      <c r="H27" s="74"/>
    </row>
    <row r="28" spans="1:10">
      <c r="A28" s="73" t="str">
        <f t="shared" ref="A28:A33" si="3">A18</f>
        <v>Activity 1 - Flour Mill</v>
      </c>
      <c r="B28" s="74">
        <f>'12.Facility 1 - Flour Mill'!D208</f>
        <v>240000</v>
      </c>
      <c r="C28" s="74">
        <f>'12.Facility 1 - Flour Mill'!E208</f>
        <v>252000</v>
      </c>
      <c r="D28" s="74">
        <f>'12.Facility 1 - Flour Mill'!F208</f>
        <v>264600</v>
      </c>
      <c r="E28" s="74">
        <f>'12.Facility 1 - Flour Mill'!G208</f>
        <v>277830.00000000006</v>
      </c>
      <c r="F28" s="74">
        <f>'12.Facility 1 - Flour Mill'!H208</f>
        <v>291721.50000000006</v>
      </c>
      <c r="G28" s="74">
        <f>'12.Facility 1 - Flour Mill'!I208</f>
        <v>306307.57500000007</v>
      </c>
      <c r="H28" s="74">
        <f>'12.Facility 1 - Flour Mill'!J208</f>
        <v>321622.9537500001</v>
      </c>
    </row>
    <row r="29" spans="1:10">
      <c r="A29" s="73" t="str">
        <f t="shared" si="3"/>
        <v>Activity 2 - Cleaning &amp; Grading Unit</v>
      </c>
      <c r="B29" s="74">
        <f>'13.Facility 2 Cleaning &amp; Gradin'!D170</f>
        <v>240000</v>
      </c>
      <c r="C29" s="74">
        <f>'13.Facility 2 Cleaning &amp; Gradin'!E170</f>
        <v>252000</v>
      </c>
      <c r="D29" s="74">
        <f>'13.Facility 2 Cleaning &amp; Gradin'!F170</f>
        <v>264600</v>
      </c>
      <c r="E29" s="74">
        <f>'13.Facility 2 Cleaning &amp; Gradin'!G170</f>
        <v>277830.00000000006</v>
      </c>
      <c r="F29" s="74">
        <f>'13.Facility 2 Cleaning &amp; Gradin'!H170</f>
        <v>291721.5</v>
      </c>
      <c r="G29" s="74">
        <f>'13.Facility 2 Cleaning &amp; Gradin'!I170</f>
        <v>306307.57500000007</v>
      </c>
      <c r="H29" s="74">
        <f>'13.Facility 2 Cleaning &amp; Gradin'!J170</f>
        <v>321622.9537500001</v>
      </c>
    </row>
    <row r="30" spans="1:10">
      <c r="A30" s="73" t="str">
        <f t="shared" si="3"/>
        <v>Faclitiy 3 - Warehouse</v>
      </c>
      <c r="B30" s="74">
        <f>'14. Facility 3 Warehouse'!D43</f>
        <v>120000</v>
      </c>
      <c r="C30" s="74">
        <f>'14. Facility 3 Warehouse'!E43</f>
        <v>126000</v>
      </c>
      <c r="D30" s="74">
        <f>'14. Facility 3 Warehouse'!F43</f>
        <v>132300</v>
      </c>
      <c r="E30" s="74">
        <f>'14. Facility 3 Warehouse'!G43</f>
        <v>138915.00000000003</v>
      </c>
      <c r="F30" s="74">
        <f>'14. Facility 3 Warehouse'!H43</f>
        <v>145860.75000000003</v>
      </c>
      <c r="G30" s="74">
        <f>'14. Facility 3 Warehouse'!I43</f>
        <v>153153.78750000003</v>
      </c>
      <c r="H30" s="74">
        <f>'14. Facility 3 Warehouse'!J43</f>
        <v>160811.47687500005</v>
      </c>
    </row>
    <row r="31" spans="1:10" hidden="1">
      <c r="A31" s="73" t="str">
        <f t="shared" si="3"/>
        <v xml:space="preserve">Faclitiy 4 - Custom Hiring </v>
      </c>
      <c r="B31" s="74">
        <f>'15. Facility 4 Custom Hiring'!E52</f>
        <v>0</v>
      </c>
      <c r="C31" s="74">
        <f>'15. Facility 4 Custom Hiring'!F52</f>
        <v>0</v>
      </c>
      <c r="D31" s="74">
        <f>'15. Facility 4 Custom Hiring'!G52</f>
        <v>0</v>
      </c>
      <c r="E31" s="74">
        <f>'15. Facility 4 Custom Hiring'!H52</f>
        <v>0</v>
      </c>
      <c r="F31" s="74">
        <f>'15. Facility 4 Custom Hiring'!I52</f>
        <v>0</v>
      </c>
      <c r="G31" s="74">
        <f>'15. Facility 4 Custom Hiring'!J52</f>
        <v>0</v>
      </c>
      <c r="H31" s="74">
        <f>'15. Facility 4 Custom Hiring'!K52</f>
        <v>0</v>
      </c>
    </row>
    <row r="32" spans="1:10" hidden="1">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10">
      <c r="A33" s="73" t="str">
        <f t="shared" si="3"/>
        <v>Facility 4 - Roasted Channa</v>
      </c>
      <c r="B33" s="74">
        <f>'17.Facility 6 Roasted Channa '!D185</f>
        <v>0</v>
      </c>
      <c r="C33" s="74">
        <f>'17.Facility 6 Roasted Channa '!E185</f>
        <v>0</v>
      </c>
      <c r="D33" s="74">
        <f>'17.Facility 6 Roasted Channa '!F185</f>
        <v>0</v>
      </c>
      <c r="E33" s="74">
        <f>'17.Facility 6 Roasted Channa '!G185</f>
        <v>0</v>
      </c>
      <c r="F33" s="74">
        <f>'17.Facility 6 Roasted Channa '!H185</f>
        <v>0</v>
      </c>
      <c r="G33" s="74">
        <f>'17.Facility 6 Roasted Channa '!I185</f>
        <v>0</v>
      </c>
      <c r="H33" s="74">
        <f>'17.Facility 6 Roasted Channa '!J185</f>
        <v>0</v>
      </c>
    </row>
    <row r="34" spans="1:10">
      <c r="A34" s="73"/>
      <c r="B34" s="74"/>
      <c r="C34" s="74"/>
      <c r="D34" s="74"/>
      <c r="E34" s="74"/>
      <c r="F34" s="74"/>
      <c r="G34" s="74"/>
      <c r="H34" s="74"/>
    </row>
    <row r="35" spans="1:10">
      <c r="A35" s="73" t="s">
        <v>9</v>
      </c>
      <c r="B35" s="74">
        <f>'3.Other Exp &amp; Taxes'!E24</f>
        <v>1612000</v>
      </c>
      <c r="C35" s="74">
        <f>'3.Other Exp &amp; Taxes'!F24</f>
        <v>1692600</v>
      </c>
      <c r="D35" s="74">
        <f>'3.Other Exp &amp; Taxes'!G24</f>
        <v>1777230</v>
      </c>
      <c r="E35" s="74">
        <f>'3.Other Exp &amp; Taxes'!H24</f>
        <v>1866091.5000000002</v>
      </c>
      <c r="F35" s="74">
        <f>'3.Other Exp &amp; Taxes'!I24</f>
        <v>1959396.0750000002</v>
      </c>
      <c r="G35" s="74">
        <f>'3.Other Exp &amp; Taxes'!J24</f>
        <v>2057365.8787500004</v>
      </c>
      <c r="H35" s="74">
        <f>'3.Other Exp &amp; Taxes'!K24</f>
        <v>2160234.1726875007</v>
      </c>
    </row>
    <row r="36" spans="1:10">
      <c r="A36" s="75" t="s">
        <v>316</v>
      </c>
      <c r="B36" s="91">
        <f t="shared" ref="B36:H36" si="4">SUM(B28:B35)</f>
        <v>2212000</v>
      </c>
      <c r="C36" s="91">
        <f t="shared" si="4"/>
        <v>2322600</v>
      </c>
      <c r="D36" s="91">
        <f t="shared" si="4"/>
        <v>2438730</v>
      </c>
      <c r="E36" s="91">
        <f t="shared" si="4"/>
        <v>2560666.5000000005</v>
      </c>
      <c r="F36" s="91">
        <f t="shared" si="4"/>
        <v>2688699.8250000002</v>
      </c>
      <c r="G36" s="91">
        <f t="shared" si="4"/>
        <v>2823134.8162500006</v>
      </c>
      <c r="H36" s="91">
        <f t="shared" si="4"/>
        <v>2964291.5570625011</v>
      </c>
    </row>
    <row r="37" spans="1:10">
      <c r="A37" s="73"/>
      <c r="B37" s="74"/>
      <c r="C37" s="74"/>
      <c r="D37" s="74"/>
      <c r="E37" s="74"/>
      <c r="F37" s="74"/>
      <c r="G37" s="74"/>
      <c r="H37" s="74"/>
    </row>
    <row r="38" spans="1:10">
      <c r="A38" s="75" t="s">
        <v>321</v>
      </c>
      <c r="B38" s="91">
        <f t="shared" ref="B38:H38" si="5">B25+B36</f>
        <v>46491525.164500542</v>
      </c>
      <c r="C38" s="91">
        <f t="shared" si="5"/>
        <v>56412928.428730629</v>
      </c>
      <c r="D38" s="91">
        <f t="shared" si="5"/>
        <v>65840260.084520414</v>
      </c>
      <c r="E38" s="91">
        <f t="shared" si="5"/>
        <v>76069292.584817365</v>
      </c>
      <c r="F38" s="91">
        <f t="shared" si="5"/>
        <v>87156627.684932694</v>
      </c>
      <c r="G38" s="91">
        <f t="shared" si="5"/>
        <v>99162523.063597545</v>
      </c>
      <c r="H38" s="91">
        <f t="shared" si="5"/>
        <v>112151116.41091652</v>
      </c>
    </row>
    <row r="39" spans="1:10">
      <c r="A39" s="73"/>
      <c r="B39" s="74"/>
      <c r="C39" s="74"/>
      <c r="D39" s="74"/>
      <c r="E39" s="74"/>
      <c r="F39" s="74"/>
      <c r="G39" s="74"/>
      <c r="H39" s="74"/>
    </row>
    <row r="40" spans="1:10">
      <c r="A40" s="75" t="s">
        <v>137</v>
      </c>
      <c r="B40" s="91">
        <f t="shared" ref="B40:H40" si="6">B15-B38</f>
        <v>3890469.5511804447</v>
      </c>
      <c r="C40" s="91">
        <f t="shared" si="6"/>
        <v>5970143.0588472858</v>
      </c>
      <c r="D40" s="91">
        <f t="shared" si="6"/>
        <v>7306207.2785984874</v>
      </c>
      <c r="E40" s="91">
        <f t="shared" si="6"/>
        <v>8760952.5626776665</v>
      </c>
      <c r="F40" s="91">
        <f t="shared" si="6"/>
        <v>10342906.856968269</v>
      </c>
      <c r="G40" s="91">
        <f t="shared" si="6"/>
        <v>11969261.926781237</v>
      </c>
      <c r="H40" s="91">
        <f t="shared" si="6"/>
        <v>13732395.236433074</v>
      </c>
      <c r="J40" s="52">
        <f>B49+B42+B43</f>
        <v>2685147.6954600955</v>
      </c>
    </row>
    <row r="41" spans="1:10">
      <c r="A41" s="73"/>
      <c r="B41" s="74"/>
      <c r="C41" s="74"/>
      <c r="D41" s="74"/>
      <c r="E41" s="74"/>
      <c r="F41" s="74"/>
      <c r="G41" s="74"/>
      <c r="H41" s="74"/>
      <c r="J41">
        <f>'5.Closing Stock &amp; W Capital'!E57</f>
        <v>717056.40028420207</v>
      </c>
    </row>
    <row r="42" spans="1:10">
      <c r="A42" s="73" t="s">
        <v>17</v>
      </c>
      <c r="B42" s="74">
        <f>'3.Other Exp &amp; Taxes'!C67</f>
        <v>1252517.731892</v>
      </c>
      <c r="C42" s="74">
        <f>'3.Other Exp &amp; Taxes'!D67</f>
        <v>1252517.731892</v>
      </c>
      <c r="D42" s="74">
        <f>'3.Other Exp &amp; Taxes'!E67</f>
        <v>1252517.731892</v>
      </c>
      <c r="E42" s="74">
        <f>'3.Other Exp &amp; Taxes'!F67</f>
        <v>1252517.731892</v>
      </c>
      <c r="F42" s="74">
        <f>'3.Other Exp &amp; Taxes'!G67</f>
        <v>1252517.731892</v>
      </c>
      <c r="G42" s="74">
        <f>'3.Other Exp &amp; Taxes'!H67</f>
        <v>1252517.731892</v>
      </c>
      <c r="H42" s="74">
        <f>'3.Other Exp &amp; Taxes'!I67</f>
        <v>1252517.731892</v>
      </c>
      <c r="J42" s="52">
        <f>J40+J41</f>
        <v>3402204.0957442978</v>
      </c>
    </row>
    <row r="43" spans="1:10">
      <c r="A43" s="73" t="s">
        <v>138</v>
      </c>
      <c r="B43" s="74">
        <f>'3.Other Exp &amp; Taxes'!C87</f>
        <v>27000</v>
      </c>
      <c r="C43" s="74">
        <f>'3.Other Exp &amp; Taxes'!D87</f>
        <v>27000</v>
      </c>
      <c r="D43" s="74">
        <f>'3.Other Exp &amp; Taxes'!E87</f>
        <v>27000</v>
      </c>
      <c r="E43" s="74">
        <f>'3.Other Exp &amp; Taxes'!F87</f>
        <v>27000</v>
      </c>
      <c r="F43" s="74">
        <f>'3.Other Exp &amp; Taxes'!G87</f>
        <v>27000</v>
      </c>
      <c r="G43" s="74">
        <f>'3.Other Exp &amp; Taxes'!H87</f>
        <v>0</v>
      </c>
      <c r="H43" s="74">
        <f>'3.Other Exp &amp; Taxes'!I87</f>
        <v>0</v>
      </c>
    </row>
    <row r="44" spans="1:10">
      <c r="A44" s="73"/>
      <c r="B44" s="74"/>
      <c r="C44" s="74"/>
      <c r="D44" s="74"/>
      <c r="E44" s="74"/>
      <c r="F44" s="74"/>
      <c r="G44" s="74"/>
      <c r="H44" s="74"/>
    </row>
    <row r="45" spans="1:10">
      <c r="A45" s="75" t="s">
        <v>139</v>
      </c>
      <c r="B45" s="91">
        <f>B40-B42-B43</f>
        <v>2610951.8192884447</v>
      </c>
      <c r="C45" s="91">
        <f t="shared" ref="C45:H45" si="7">C40-C42-C43</f>
        <v>4690625.3269552859</v>
      </c>
      <c r="D45" s="91">
        <f t="shared" si="7"/>
        <v>6026689.5467064874</v>
      </c>
      <c r="E45" s="91">
        <f t="shared" si="7"/>
        <v>7481434.8307856666</v>
      </c>
      <c r="F45" s="91">
        <f t="shared" si="7"/>
        <v>9063389.1250762679</v>
      </c>
      <c r="G45" s="91">
        <f t="shared" si="7"/>
        <v>10716744.194889236</v>
      </c>
      <c r="H45" s="91">
        <f t="shared" si="7"/>
        <v>12479877.504541073</v>
      </c>
    </row>
    <row r="46" spans="1:10">
      <c r="A46" s="73"/>
      <c r="B46" s="74"/>
      <c r="C46" s="74"/>
      <c r="D46" s="74"/>
      <c r="E46" s="74"/>
      <c r="F46" s="74"/>
      <c r="G46" s="74"/>
      <c r="H46" s="74"/>
    </row>
    <row r="47" spans="1:10">
      <c r="A47" s="73" t="s">
        <v>24</v>
      </c>
      <c r="B47" s="74">
        <f>'8.Cash Flow '!C27+'8.Cash Flow '!C29</f>
        <v>1205321.8557203491</v>
      </c>
      <c r="C47" s="74">
        <f>'8.Cash Flow '!D27+'8.Cash Flow '!D29</f>
        <v>1221736.6864846037</v>
      </c>
      <c r="D47" s="74">
        <f>'8.Cash Flow '!E27+'8.Cash Flow '!E29</f>
        <v>1103634.9300730696</v>
      </c>
      <c r="E47" s="74">
        <f>'8.Cash Flow '!F27+'8.Cash Flow '!F29</f>
        <v>967492.61243948736</v>
      </c>
      <c r="F47" s="74">
        <f>'8.Cash Flow '!G27+'8.Cash Flow '!G29</f>
        <v>810662.57489712921</v>
      </c>
      <c r="G47" s="74">
        <f>'8.Cash Flow '!H27+'8.Cash Flow '!H29</f>
        <v>761655.90302202734</v>
      </c>
      <c r="H47" s="74">
        <f>'8.Cash Flow '!I27+'8.Cash Flow '!I29</f>
        <v>864495.65153061587</v>
      </c>
    </row>
    <row r="48" spans="1:10">
      <c r="A48" s="73"/>
      <c r="B48" s="74"/>
      <c r="C48" s="74"/>
      <c r="D48" s="74"/>
      <c r="E48" s="74"/>
      <c r="F48" s="74"/>
      <c r="G48" s="74"/>
      <c r="H48" s="74"/>
    </row>
    <row r="49" spans="1:9">
      <c r="A49" s="73" t="s">
        <v>25</v>
      </c>
      <c r="B49" s="74">
        <f>B45-B47</f>
        <v>1405629.9635680956</v>
      </c>
      <c r="C49" s="74">
        <f t="shared" ref="C49:H49" si="8">C45-C47</f>
        <v>3468888.6404706822</v>
      </c>
      <c r="D49" s="74">
        <f t="shared" si="8"/>
        <v>4923054.616633418</v>
      </c>
      <c r="E49" s="74">
        <f t="shared" si="8"/>
        <v>6513942.2183461795</v>
      </c>
      <c r="F49" s="74">
        <f t="shared" si="8"/>
        <v>8252726.5501791388</v>
      </c>
      <c r="G49" s="74">
        <f t="shared" si="8"/>
        <v>9955088.2918672096</v>
      </c>
      <c r="H49" s="74">
        <f t="shared" si="8"/>
        <v>11615381.853010457</v>
      </c>
    </row>
    <row r="50" spans="1:9">
      <c r="A50" s="73" t="s">
        <v>26</v>
      </c>
      <c r="B50" s="74" t="str">
        <f>'3.Other Exp &amp; Taxes'!B100</f>
        <v>0</v>
      </c>
      <c r="C50" s="74">
        <f>'3.Other Exp &amp; Taxes'!C100</f>
        <v>475613.11700829753</v>
      </c>
      <c r="D50" s="74">
        <f>'3.Other Exp &amp; Taxes'!D100</f>
        <v>952392.01678150881</v>
      </c>
      <c r="E50" s="74">
        <f>'3.Other Exp &amp; Taxes'!E100</f>
        <v>1450668.6908020915</v>
      </c>
      <c r="F50" s="74">
        <f>'3.Other Exp &amp; Taxes'!F100</f>
        <v>1975642.7721676365</v>
      </c>
      <c r="G50" s="74">
        <f>'3.Other Exp &amp; Taxes'!G100</f>
        <v>2481217.7327671633</v>
      </c>
      <c r="H50" s="74">
        <f>'3.Other Exp &amp; Taxes'!H100</f>
        <v>2967409.0274024429</v>
      </c>
    </row>
    <row r="51" spans="1:9">
      <c r="A51" s="75" t="s">
        <v>28</v>
      </c>
      <c r="B51" s="74">
        <f>B49-B50</f>
        <v>1405629.9635680956</v>
      </c>
      <c r="C51" s="74">
        <f>C49-C50</f>
        <v>2993275.5234623845</v>
      </c>
      <c r="D51" s="74">
        <f>D49-D50</f>
        <v>3970662.5998519091</v>
      </c>
      <c r="E51" s="74">
        <f>E49-E50</f>
        <v>5063273.5275440877</v>
      </c>
      <c r="F51" s="74">
        <f>F49-F50</f>
        <v>6277083.7780115027</v>
      </c>
      <c r="G51" s="74">
        <f t="shared" ref="G51:H51" si="9">G49-G50</f>
        <v>7473870.5591000468</v>
      </c>
      <c r="H51" s="74">
        <f t="shared" si="9"/>
        <v>8647972.8256080151</v>
      </c>
    </row>
    <row r="52" spans="1:9">
      <c r="A52" s="72"/>
      <c r="B52" s="88"/>
      <c r="C52" s="88"/>
      <c r="D52" s="88"/>
      <c r="E52" s="88"/>
      <c r="F52" s="88"/>
      <c r="G52" s="88"/>
      <c r="H52" s="88"/>
    </row>
    <row r="53" spans="1:9">
      <c r="A53" s="72" t="s">
        <v>502</v>
      </c>
      <c r="B53" s="88">
        <f>B51</f>
        <v>1405629.9635680956</v>
      </c>
      <c r="C53" s="88">
        <f t="shared" ref="C53:H53" si="10">B53+C51</f>
        <v>4398905.4870304801</v>
      </c>
      <c r="D53" s="88">
        <f t="shared" si="10"/>
        <v>8369568.0868823892</v>
      </c>
      <c r="E53" s="88">
        <f t="shared" si="10"/>
        <v>13432841.614426477</v>
      </c>
      <c r="F53" s="88">
        <f t="shared" si="10"/>
        <v>19709925.39243798</v>
      </c>
      <c r="G53" s="88">
        <f t="shared" si="10"/>
        <v>27183795.951538026</v>
      </c>
      <c r="H53" s="88">
        <f t="shared" si="10"/>
        <v>35831768.777146041</v>
      </c>
    </row>
    <row r="56" spans="1:9" ht="32.450000000000003" customHeight="1">
      <c r="A56" s="440" t="s">
        <v>396</v>
      </c>
      <c r="B56" s="440"/>
      <c r="C56" s="440"/>
      <c r="D56" s="440"/>
      <c r="E56" s="440"/>
      <c r="F56" s="440"/>
      <c r="G56" s="440"/>
      <c r="H56" s="440"/>
      <c r="I56" s="440"/>
    </row>
    <row r="58" spans="1:9">
      <c r="A58" s="240"/>
    </row>
  </sheetData>
  <mergeCells count="2">
    <mergeCell ref="A2:H2"/>
    <mergeCell ref="A56:I56"/>
  </mergeCells>
  <pageMargins left="0.7" right="0.7" top="0.75" bottom="0.75" header="0.3" footer="0.3"/>
  <pageSetup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zoomScale="80" zoomScaleSheetLayoutView="80" workbookViewId="0">
      <selection sqref="A1:F1"/>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422"/>
      <c r="B1" s="422"/>
      <c r="C1" s="422"/>
      <c r="D1" s="422"/>
      <c r="E1" s="422"/>
      <c r="F1" s="422"/>
    </row>
    <row r="2" spans="1:18" ht="18.75">
      <c r="A2" s="441" t="s">
        <v>547</v>
      </c>
      <c r="B2" s="404"/>
      <c r="C2" s="404"/>
      <c r="D2" s="404"/>
      <c r="E2" s="404"/>
      <c r="F2" s="404"/>
      <c r="G2" s="404"/>
      <c r="H2" s="404"/>
      <c r="I2" s="5"/>
    </row>
    <row r="3" spans="1:18">
      <c r="A3" s="66"/>
      <c r="B3" s="45"/>
      <c r="C3" s="45"/>
      <c r="D3" s="45"/>
      <c r="E3" s="45"/>
      <c r="F3" s="45"/>
    </row>
    <row r="4" spans="1:18">
      <c r="A4" s="94" t="s">
        <v>0</v>
      </c>
      <c r="B4" s="95" t="s">
        <v>2</v>
      </c>
      <c r="C4" s="95" t="s">
        <v>3</v>
      </c>
      <c r="D4" s="95" t="s">
        <v>4</v>
      </c>
      <c r="E4" s="95" t="s">
        <v>5</v>
      </c>
      <c r="F4" s="95" t="s">
        <v>6</v>
      </c>
      <c r="G4" s="96" t="s">
        <v>168</v>
      </c>
      <c r="H4" s="96" t="s">
        <v>167</v>
      </c>
    </row>
    <row r="5" spans="1:18">
      <c r="A5" s="97"/>
      <c r="B5" s="98"/>
      <c r="C5" s="99"/>
      <c r="D5" s="99"/>
      <c r="E5" s="99"/>
      <c r="F5" s="99"/>
      <c r="G5" s="99"/>
      <c r="H5" s="99"/>
    </row>
    <row r="6" spans="1:18">
      <c r="A6" s="100" t="s">
        <v>49</v>
      </c>
      <c r="B6" s="101"/>
      <c r="C6" s="101"/>
      <c r="D6" s="101"/>
      <c r="E6" s="101"/>
      <c r="F6" s="101"/>
      <c r="G6" s="101"/>
      <c r="H6" s="101"/>
    </row>
    <row r="7" spans="1:18">
      <c r="A7" s="102" t="s">
        <v>50</v>
      </c>
      <c r="B7" s="103"/>
      <c r="C7" s="103"/>
      <c r="D7" s="103"/>
      <c r="E7" s="103"/>
      <c r="F7" s="103"/>
      <c r="G7" s="103"/>
      <c r="H7" s="103"/>
    </row>
    <row r="8" spans="1:18">
      <c r="A8" s="104" t="s">
        <v>245</v>
      </c>
      <c r="B8" s="105">
        <f>'8.Cash Flow '!C36</f>
        <v>1990199.8931174576</v>
      </c>
      <c r="C8" s="105">
        <f>'8.Cash Flow '!D36</f>
        <v>5459263.8746386245</v>
      </c>
      <c r="D8" s="105">
        <f>'8.Cash Flow '!E36</f>
        <v>8995784.8433208987</v>
      </c>
      <c r="E8" s="105">
        <f>'8.Cash Flow '!F36</f>
        <v>13407581.839339145</v>
      </c>
      <c r="F8" s="105">
        <f>'8.Cash Flow '!G36</f>
        <v>18788290.680182151</v>
      </c>
      <c r="G8" s="105">
        <f>'8.Cash Flow '!H36</f>
        <v>27514678.971174203</v>
      </c>
      <c r="H8" s="105">
        <f>'8.Cash Flow '!I36</f>
        <v>37415169.528674223</v>
      </c>
      <c r="K8" s="53"/>
      <c r="L8" s="53"/>
      <c r="M8" s="53"/>
      <c r="N8" s="53"/>
      <c r="O8" s="53"/>
      <c r="P8" s="53"/>
      <c r="Q8" s="53"/>
      <c r="R8" s="53"/>
    </row>
    <row r="9" spans="1:18">
      <c r="A9" s="106" t="s">
        <v>246</v>
      </c>
      <c r="B9" s="107">
        <f>'5.Closing Stock &amp; W Capital'!E42</f>
        <v>1932460.0712863943</v>
      </c>
      <c r="C9" s="107">
        <f>'5.Closing Stock &amp; W Capital'!F42</f>
        <v>2392775.3447290156</v>
      </c>
      <c r="D9" s="107">
        <f>'5.Closing Stock &amp; W Capital'!G42</f>
        <v>2805617.9262566152</v>
      </c>
      <c r="E9" s="107">
        <f>'5.Closing Stock &amp; W Capital'!H42</f>
        <v>3253762.8275751513</v>
      </c>
      <c r="F9" s="107">
        <f>'5.Closing Stock &amp; W Capital'!I42</f>
        <v>3739708.1742099002</v>
      </c>
      <c r="G9" s="107">
        <f>'5.Closing Stock &amp; W Capital'!J42</f>
        <v>4262589.0133295972</v>
      </c>
      <c r="H9" s="107">
        <f>'5.Closing Stock &amp; W Capital'!K42</f>
        <v>4828408.6659257384</v>
      </c>
      <c r="K9" s="53"/>
      <c r="L9" s="53"/>
      <c r="M9" s="53"/>
      <c r="N9" s="53"/>
      <c r="O9" s="53"/>
      <c r="P9" s="53"/>
      <c r="Q9" s="53"/>
      <c r="R9" s="53"/>
    </row>
    <row r="10" spans="1:18">
      <c r="A10" s="106" t="s">
        <v>580</v>
      </c>
      <c r="B10" s="107">
        <f>'5.Closing Stock &amp; W Capital'!E21</f>
        <v>1531055.19286845</v>
      </c>
      <c r="C10" s="107">
        <f>'5.Closing Stock &amp; W Capital'!F21</f>
        <v>1845232.7830716937</v>
      </c>
      <c r="D10" s="107">
        <f>'5.Closing Stock &amp; W Capital'!G21</f>
        <v>2187000.494313091</v>
      </c>
      <c r="E10" s="107">
        <f>'5.Closing Stock &amp; W Capital'!H21</f>
        <v>2558331.8947209483</v>
      </c>
      <c r="F10" s="107">
        <f>'5.Closing Stock &amp; W Capital'!I21</f>
        <v>2961328.9339338094</v>
      </c>
      <c r="G10" s="107">
        <f>'5.Closing Stock &amp; W Capital'!J21</f>
        <v>3398229.8473311537</v>
      </c>
      <c r="H10" s="107">
        <f>'5.Closing Stock &amp; W Capital'!K21</f>
        <v>3871417.5297333989</v>
      </c>
      <c r="K10" s="53"/>
      <c r="L10" s="53"/>
      <c r="M10" s="53"/>
      <c r="N10" s="53"/>
      <c r="O10" s="53"/>
      <c r="P10" s="53"/>
      <c r="Q10" s="53"/>
      <c r="R10" s="53"/>
    </row>
    <row r="11" spans="1:18">
      <c r="A11" s="102" t="s">
        <v>247</v>
      </c>
      <c r="B11" s="105">
        <f t="shared" ref="B11:H11" si="0">SUM(B8:B10)</f>
        <v>5453715.1572723016</v>
      </c>
      <c r="C11" s="105">
        <f t="shared" si="0"/>
        <v>9697272.0024393331</v>
      </c>
      <c r="D11" s="105">
        <f t="shared" si="0"/>
        <v>13988403.263890605</v>
      </c>
      <c r="E11" s="105">
        <f t="shared" si="0"/>
        <v>19219676.561635245</v>
      </c>
      <c r="F11" s="105">
        <f t="shared" si="0"/>
        <v>25489327.788325861</v>
      </c>
      <c r="G11" s="105">
        <f t="shared" si="0"/>
        <v>35175497.83183495</v>
      </c>
      <c r="H11" s="105">
        <f t="shared" si="0"/>
        <v>46114995.724333361</v>
      </c>
    </row>
    <row r="12" spans="1:18">
      <c r="A12" s="102"/>
      <c r="B12" s="107"/>
      <c r="C12" s="107"/>
      <c r="D12" s="107"/>
      <c r="E12" s="107"/>
      <c r="F12" s="107"/>
      <c r="G12" s="107"/>
      <c r="H12" s="107"/>
      <c r="J12" s="53"/>
      <c r="K12" s="53"/>
      <c r="L12" s="53"/>
      <c r="M12" s="53"/>
      <c r="N12" s="53"/>
      <c r="O12" s="53"/>
      <c r="P12" s="53"/>
      <c r="Q12" s="53"/>
    </row>
    <row r="13" spans="1:18">
      <c r="A13" s="108" t="s">
        <v>248</v>
      </c>
      <c r="B13" s="107">
        <f>'3.Other Exp &amp; Taxes'!C66</f>
        <v>26652599.240000002</v>
      </c>
      <c r="C13" s="107">
        <f>'3.Other Exp &amp; Taxes'!D66</f>
        <v>25400081.508108001</v>
      </c>
      <c r="D13" s="107">
        <f>'3.Other Exp &amp; Taxes'!E66</f>
        <v>24147563.776216</v>
      </c>
      <c r="E13" s="107">
        <f>'3.Other Exp &amp; Taxes'!F66</f>
        <v>22895046.044324003</v>
      </c>
      <c r="F13" s="107">
        <f>'3.Other Exp &amp; Taxes'!G66</f>
        <v>21642528.312432006</v>
      </c>
      <c r="G13" s="107">
        <f>'3.Other Exp &amp; Taxes'!H66</f>
        <v>20390010.580540005</v>
      </c>
      <c r="H13" s="107">
        <f>'3.Other Exp &amp; Taxes'!I66</f>
        <v>19137492.848648004</v>
      </c>
    </row>
    <row r="14" spans="1:18">
      <c r="A14" s="108" t="s">
        <v>249</v>
      </c>
      <c r="B14" s="107">
        <f>'3.Other Exp &amp; Taxes'!C67</f>
        <v>1252517.731892</v>
      </c>
      <c r="C14" s="107">
        <f>'3.Other Exp &amp; Taxes'!D67</f>
        <v>1252517.731892</v>
      </c>
      <c r="D14" s="107">
        <f>'3.Other Exp &amp; Taxes'!E67</f>
        <v>1252517.731892</v>
      </c>
      <c r="E14" s="107">
        <f>'3.Other Exp &amp; Taxes'!F67</f>
        <v>1252517.731892</v>
      </c>
      <c r="F14" s="107">
        <f>'3.Other Exp &amp; Taxes'!G67</f>
        <v>1252517.731892</v>
      </c>
      <c r="G14" s="107">
        <f>'3.Other Exp &amp; Taxes'!H67</f>
        <v>1252517.731892</v>
      </c>
      <c r="H14" s="107">
        <f>'3.Other Exp &amp; Taxes'!I67</f>
        <v>1252517.731892</v>
      </c>
      <c r="K14" s="53"/>
      <c r="L14" s="53"/>
      <c r="M14" s="53"/>
      <c r="N14" s="53"/>
      <c r="O14" s="53"/>
      <c r="P14" s="53"/>
      <c r="Q14" s="53"/>
    </row>
    <row r="15" spans="1:18" s="45" customFormat="1">
      <c r="A15" s="102" t="s">
        <v>196</v>
      </c>
      <c r="B15" s="105">
        <f t="shared" ref="B15:H15" si="1">B13-B14</f>
        <v>25400081.508108001</v>
      </c>
      <c r="C15" s="105">
        <f t="shared" si="1"/>
        <v>24147563.776216</v>
      </c>
      <c r="D15" s="105">
        <f t="shared" si="1"/>
        <v>22895046.044323999</v>
      </c>
      <c r="E15" s="105">
        <f t="shared" si="1"/>
        <v>21642528.312432002</v>
      </c>
      <c r="F15" s="105">
        <f t="shared" si="1"/>
        <v>20390010.580540005</v>
      </c>
      <c r="G15" s="105">
        <f t="shared" si="1"/>
        <v>19137492.848648004</v>
      </c>
      <c r="H15" s="105">
        <f t="shared" si="1"/>
        <v>17884975.116756003</v>
      </c>
    </row>
    <row r="16" spans="1:18" s="45" customFormat="1">
      <c r="A16" s="102"/>
      <c r="B16" s="105"/>
      <c r="C16" s="105"/>
      <c r="D16" s="105"/>
      <c r="E16" s="105"/>
      <c r="F16" s="105"/>
      <c r="G16" s="105"/>
      <c r="H16" s="105"/>
    </row>
    <row r="17" spans="1:8" s="45" customFormat="1">
      <c r="A17" s="109"/>
      <c r="B17" s="105"/>
      <c r="C17" s="105"/>
      <c r="D17" s="105"/>
      <c r="E17" s="105"/>
      <c r="F17" s="105"/>
      <c r="G17" s="105"/>
      <c r="H17" s="105"/>
    </row>
    <row r="18" spans="1:8" s="45" customFormat="1">
      <c r="A18" s="102" t="s">
        <v>504</v>
      </c>
      <c r="B18" s="105">
        <f>'8.Cash Flow '!C21-'6.Cons Profit &amp; Loss'!B43</f>
        <v>108000</v>
      </c>
      <c r="C18" s="105">
        <f>B18-'6.Cons Profit &amp; Loss'!C43</f>
        <v>81000</v>
      </c>
      <c r="D18" s="105">
        <f>C18-'6.Cons Profit &amp; Loss'!D43</f>
        <v>54000</v>
      </c>
      <c r="E18" s="105">
        <f>D18-'6.Cons Profit &amp; Loss'!E43</f>
        <v>27000</v>
      </c>
      <c r="F18" s="105">
        <f>E18-'6.Cons Profit &amp; Loss'!F43</f>
        <v>0</v>
      </c>
      <c r="G18" s="105">
        <f>F18-'6.Cons Profit &amp; Loss'!G43</f>
        <v>0</v>
      </c>
      <c r="H18" s="105">
        <f>G18-'6.Cons Profit &amp; Loss'!H43</f>
        <v>0</v>
      </c>
    </row>
    <row r="19" spans="1:8">
      <c r="A19" s="108"/>
      <c r="B19" s="107"/>
      <c r="C19" s="107"/>
      <c r="D19" s="107"/>
      <c r="E19" s="107"/>
      <c r="F19" s="107"/>
      <c r="G19" s="107"/>
      <c r="H19" s="107"/>
    </row>
    <row r="20" spans="1:8">
      <c r="A20" s="109" t="s">
        <v>251</v>
      </c>
      <c r="B20" s="110">
        <f t="shared" ref="B20:H20" si="2">B11+B15+B17+B18</f>
        <v>30961796.665380303</v>
      </c>
      <c r="C20" s="110">
        <f t="shared" si="2"/>
        <v>33925835.778655335</v>
      </c>
      <c r="D20" s="110">
        <f t="shared" si="2"/>
        <v>36937449.308214605</v>
      </c>
      <c r="E20" s="110">
        <f t="shared" si="2"/>
        <v>40889204.874067247</v>
      </c>
      <c r="F20" s="110">
        <f t="shared" si="2"/>
        <v>45879338.368865862</v>
      </c>
      <c r="G20" s="110">
        <f t="shared" si="2"/>
        <v>54312990.680482954</v>
      </c>
      <c r="H20" s="110">
        <f t="shared" si="2"/>
        <v>63999970.841089368</v>
      </c>
    </row>
    <row r="21" spans="1:8">
      <c r="A21" s="97"/>
      <c r="B21" s="111"/>
      <c r="C21" s="111"/>
      <c r="D21" s="111"/>
      <c r="E21" s="111"/>
      <c r="F21" s="111"/>
      <c r="G21" s="111"/>
      <c r="H21" s="111"/>
    </row>
    <row r="22" spans="1:8">
      <c r="A22" s="100" t="s">
        <v>252</v>
      </c>
      <c r="B22" s="112"/>
      <c r="C22" s="112"/>
      <c r="D22" s="112"/>
      <c r="E22" s="112"/>
      <c r="F22" s="112"/>
      <c r="G22" s="112"/>
      <c r="H22" s="112"/>
    </row>
    <row r="23" spans="1:8">
      <c r="A23" s="102" t="s">
        <v>253</v>
      </c>
      <c r="B23" s="112"/>
      <c r="C23" s="112"/>
      <c r="D23" s="112"/>
      <c r="E23" s="112"/>
      <c r="F23" s="112"/>
      <c r="G23" s="112"/>
      <c r="H23" s="112"/>
    </row>
    <row r="24" spans="1:8">
      <c r="A24" s="106" t="s">
        <v>254</v>
      </c>
      <c r="B24" s="105">
        <f>'5.Closing Stock &amp; W Capital'!E56-'5.Closing Stock &amp; W Capital'!E57</f>
        <v>2151169.2008526064</v>
      </c>
      <c r="C24" s="105">
        <f>'5.Closing Stock &amp; W Capital'!F56-'5.Closing Stock &amp; W Capital'!F57</f>
        <v>3521810.2110060873</v>
      </c>
      <c r="D24" s="105">
        <f>'5.Closing Stock &amp; W Capital'!G56-'5.Closing Stock &amp; W Capital'!G57</f>
        <v>4144909.6487783841</v>
      </c>
      <c r="E24" s="105">
        <f>'5.Closing Stock &amp; W Capital'!H56-'5.Closing Stock &amp; W Capital'!H57</f>
        <v>4821514.5048003942</v>
      </c>
      <c r="F24" s="105">
        <f>'5.Closing Stock &amp; W Capital'!I56-'5.Closing Stock &amp; W Capital'!I57</f>
        <v>5555417.57230266</v>
      </c>
      <c r="G24" s="105">
        <f>'5.Closing Stock &amp; W Capital'!J56-'5.Closing Stock &amp; W Capital'!J57</f>
        <v>6347132.5251835613</v>
      </c>
      <c r="H24" s="105">
        <f>'5.Closing Stock &amp; W Capital'!K56-'5.Closing Stock &amp; W Capital'!K57</f>
        <v>7204130.4294217993</v>
      </c>
    </row>
    <row r="25" spans="1:8">
      <c r="A25" s="106" t="s">
        <v>255</v>
      </c>
      <c r="B25" s="111">
        <f>'5.Closing Stock &amp; W Capital'!E55</f>
        <v>595289.66301803547</v>
      </c>
      <c r="C25" s="111">
        <f>'5.Closing Stock &amp; W Capital'!F55</f>
        <v>716197.9167946222</v>
      </c>
      <c r="D25" s="111">
        <f>'5.Closing Stock &amp; W Capital'!G55</f>
        <v>847708.77179132251</v>
      </c>
      <c r="E25" s="111">
        <f>'5.Closing Stock &amp; W Capital'!H55</f>
        <v>990580.21749570617</v>
      </c>
      <c r="F25" s="111">
        <f>'5.Closing Stock &amp; W Capital'!I55</f>
        <v>1145619.5358410501</v>
      </c>
      <c r="G25" s="111">
        <f>'5.Closing Stock &amp; W Capital'!J55</f>
        <v>1313686.3354771892</v>
      </c>
      <c r="H25" s="111">
        <f>'5.Closing Stock &amp; W Capital'!K55</f>
        <v>1495695.7662373395</v>
      </c>
    </row>
    <row r="26" spans="1:8">
      <c r="A26" s="106" t="s">
        <v>256</v>
      </c>
      <c r="B26" s="105"/>
      <c r="C26" s="105"/>
      <c r="D26" s="105"/>
      <c r="E26" s="105"/>
      <c r="F26" s="105"/>
      <c r="G26" s="105"/>
      <c r="H26" s="105"/>
    </row>
    <row r="27" spans="1:8">
      <c r="A27" s="102" t="s">
        <v>257</v>
      </c>
      <c r="B27" s="110">
        <f t="shared" ref="B27:H27" si="3">SUM(B24:B26)</f>
        <v>2746458.8638706421</v>
      </c>
      <c r="C27" s="110">
        <f t="shared" si="3"/>
        <v>4238008.1278007096</v>
      </c>
      <c r="D27" s="110">
        <f t="shared" si="3"/>
        <v>4992618.4205697067</v>
      </c>
      <c r="E27" s="110">
        <f t="shared" si="3"/>
        <v>5812094.7222961001</v>
      </c>
      <c r="F27" s="110">
        <f t="shared" si="3"/>
        <v>6701037.1081437096</v>
      </c>
      <c r="G27" s="110">
        <f t="shared" si="3"/>
        <v>7660818.8606607504</v>
      </c>
      <c r="H27" s="110">
        <f t="shared" si="3"/>
        <v>8699826.1956591383</v>
      </c>
    </row>
    <row r="28" spans="1:8">
      <c r="A28" s="102" t="s">
        <v>258</v>
      </c>
      <c r="B28" s="110">
        <f>'4.TL repayment sch'!G21</f>
        <v>7341331.9696573904</v>
      </c>
      <c r="C28" s="110">
        <f>'4.TL repayment sch'!G33</f>
        <v>5820546.2955399696</v>
      </c>
      <c r="D28" s="110">
        <f>'4.TL repayment sch'!G45</f>
        <v>4106886.9324783375</v>
      </c>
      <c r="E28" s="110">
        <f>'4.TL repayment sch'!G57</f>
        <v>2175892.6690604831</v>
      </c>
      <c r="F28" s="110">
        <f>'4.TL repayment sch'!G69</f>
        <v>-9.6042640507221222E-10</v>
      </c>
      <c r="G28" s="110">
        <f>'4.TL repayment sch'!G72</f>
        <v>0</v>
      </c>
      <c r="H28" s="110">
        <f>'[5]Term Loan'!J72+'[5]Term Loan'!S72</f>
        <v>0</v>
      </c>
    </row>
    <row r="29" spans="1:8">
      <c r="A29" s="102" t="s">
        <v>259</v>
      </c>
      <c r="B29" s="110"/>
      <c r="C29" s="110"/>
      <c r="D29" s="110"/>
      <c r="E29" s="110"/>
      <c r="F29" s="110"/>
      <c r="G29" s="110"/>
      <c r="H29" s="110"/>
    </row>
    <row r="30" spans="1:8">
      <c r="A30" s="102"/>
      <c r="B30" s="113"/>
      <c r="C30" s="113"/>
      <c r="D30" s="113"/>
      <c r="E30" s="113"/>
      <c r="F30" s="113"/>
      <c r="G30" s="113"/>
      <c r="H30" s="113"/>
    </row>
    <row r="31" spans="1:8">
      <c r="A31" s="109" t="s">
        <v>260</v>
      </c>
      <c r="B31" s="110">
        <f t="shared" ref="B31:H31" si="4">SUM(B27:B29)</f>
        <v>10087790.833528033</v>
      </c>
      <c r="C31" s="110">
        <f t="shared" si="4"/>
        <v>10058554.423340678</v>
      </c>
      <c r="D31" s="110">
        <f t="shared" si="4"/>
        <v>9099505.3530480452</v>
      </c>
      <c r="E31" s="110">
        <f t="shared" si="4"/>
        <v>7987987.3913565837</v>
      </c>
      <c r="F31" s="110">
        <f t="shared" si="4"/>
        <v>6701037.1081437087</v>
      </c>
      <c r="G31" s="110">
        <f t="shared" si="4"/>
        <v>7660818.8606607504</v>
      </c>
      <c r="H31" s="110">
        <f t="shared" si="4"/>
        <v>8699826.1956591383</v>
      </c>
    </row>
    <row r="32" spans="1:8">
      <c r="A32" s="97"/>
      <c r="B32" s="114"/>
      <c r="C32" s="114"/>
      <c r="D32" s="114"/>
      <c r="E32" s="114"/>
      <c r="F32" s="114"/>
      <c r="G32" s="114"/>
      <c r="H32" s="114"/>
    </row>
    <row r="33" spans="1:8">
      <c r="A33" s="108" t="s">
        <v>261</v>
      </c>
      <c r="B33" s="107">
        <f>'8.Cash Flow '!C7</f>
        <v>3395816.3242842024</v>
      </c>
      <c r="C33" s="107">
        <f>B33</f>
        <v>3395816.3242842024</v>
      </c>
      <c r="D33" s="107">
        <f t="shared" ref="D33:H34" si="5">C33</f>
        <v>3395816.3242842024</v>
      </c>
      <c r="E33" s="107">
        <f t="shared" si="5"/>
        <v>3395816.3242842024</v>
      </c>
      <c r="F33" s="107">
        <f t="shared" si="5"/>
        <v>3395816.3242842024</v>
      </c>
      <c r="G33" s="107">
        <f t="shared" si="5"/>
        <v>3395816.3242842024</v>
      </c>
      <c r="H33" s="107">
        <f t="shared" si="5"/>
        <v>3395816.3242842024</v>
      </c>
    </row>
    <row r="34" spans="1:8">
      <c r="A34" s="108" t="s">
        <v>505</v>
      </c>
      <c r="B34" s="107">
        <f>'1.Project Cost and MOF'!E19</f>
        <v>16072559.544</v>
      </c>
      <c r="C34" s="107">
        <f>B34</f>
        <v>16072559.544</v>
      </c>
      <c r="D34" s="107">
        <f t="shared" si="5"/>
        <v>16072559.544</v>
      </c>
      <c r="E34" s="107">
        <f t="shared" si="5"/>
        <v>16072559.544</v>
      </c>
      <c r="F34" s="107">
        <f t="shared" si="5"/>
        <v>16072559.544</v>
      </c>
      <c r="G34" s="107">
        <f t="shared" si="5"/>
        <v>16072559.544</v>
      </c>
      <c r="H34" s="107">
        <f t="shared" si="5"/>
        <v>16072559.544</v>
      </c>
    </row>
    <row r="35" spans="1:8">
      <c r="A35" s="102" t="s">
        <v>262</v>
      </c>
      <c r="B35" s="107"/>
      <c r="C35" s="107"/>
      <c r="D35" s="107"/>
      <c r="E35" s="107"/>
      <c r="F35" s="107"/>
      <c r="G35" s="107"/>
      <c r="H35" s="107"/>
    </row>
    <row r="36" spans="1:8">
      <c r="A36" s="108" t="s">
        <v>263</v>
      </c>
      <c r="B36" s="107">
        <v>0</v>
      </c>
      <c r="C36" s="107">
        <f t="shared" ref="C36:H36" si="6">B39</f>
        <v>1405629.9635680956</v>
      </c>
      <c r="D36" s="107">
        <f t="shared" si="6"/>
        <v>4398905.4870304801</v>
      </c>
      <c r="E36" s="107">
        <f t="shared" si="6"/>
        <v>8369568.0868823892</v>
      </c>
      <c r="F36" s="107">
        <f t="shared" si="6"/>
        <v>13432841.614426477</v>
      </c>
      <c r="G36" s="107">
        <f t="shared" si="6"/>
        <v>19709925.39243798</v>
      </c>
      <c r="H36" s="107">
        <f t="shared" si="6"/>
        <v>27183795.951538026</v>
      </c>
    </row>
    <row r="37" spans="1:8">
      <c r="A37" s="108" t="s">
        <v>264</v>
      </c>
      <c r="B37" s="107">
        <f>'6.Cons Profit &amp; Loss'!B53</f>
        <v>1405629.9635680956</v>
      </c>
      <c r="C37" s="107">
        <f>'6.Cons Profit &amp; Loss'!C51</f>
        <v>2993275.5234623845</v>
      </c>
      <c r="D37" s="107">
        <f>'6.Cons Profit &amp; Loss'!D51</f>
        <v>3970662.5998519091</v>
      </c>
      <c r="E37" s="107">
        <f>'6.Cons Profit &amp; Loss'!E51</f>
        <v>5063273.5275440877</v>
      </c>
      <c r="F37" s="107">
        <f>'6.Cons Profit &amp; Loss'!F51</f>
        <v>6277083.7780115027</v>
      </c>
      <c r="G37" s="107">
        <f>'6.Cons Profit &amp; Loss'!G51</f>
        <v>7473870.5591000468</v>
      </c>
      <c r="H37" s="107">
        <f>'6.Cons Profit &amp; Loss'!H51</f>
        <v>8647972.8256080151</v>
      </c>
    </row>
    <row r="38" spans="1:8">
      <c r="A38" s="108" t="s">
        <v>265</v>
      </c>
      <c r="B38" s="107"/>
      <c r="C38" s="107"/>
      <c r="D38" s="107"/>
      <c r="E38" s="107"/>
      <c r="F38" s="107"/>
      <c r="G38" s="107"/>
      <c r="H38" s="107"/>
    </row>
    <row r="39" spans="1:8">
      <c r="A39" s="108" t="s">
        <v>266</v>
      </c>
      <c r="B39" s="107">
        <f t="shared" ref="B39:H39" si="7">B36+B37-B38</f>
        <v>1405629.9635680956</v>
      </c>
      <c r="C39" s="107">
        <f t="shared" si="7"/>
        <v>4398905.4870304801</v>
      </c>
      <c r="D39" s="107">
        <f t="shared" si="7"/>
        <v>8369568.0868823892</v>
      </c>
      <c r="E39" s="107">
        <f t="shared" si="7"/>
        <v>13432841.614426477</v>
      </c>
      <c r="F39" s="107">
        <f t="shared" si="7"/>
        <v>19709925.39243798</v>
      </c>
      <c r="G39" s="107">
        <f t="shared" si="7"/>
        <v>27183795.951538026</v>
      </c>
      <c r="H39" s="107">
        <f t="shared" si="7"/>
        <v>35831768.777146041</v>
      </c>
    </row>
    <row r="40" spans="1:8">
      <c r="A40" s="108"/>
      <c r="B40" s="112"/>
      <c r="C40" s="112"/>
      <c r="D40" s="112"/>
      <c r="E40" s="112"/>
      <c r="F40" s="112"/>
      <c r="G40" s="112"/>
      <c r="H40" s="112"/>
    </row>
    <row r="41" spans="1:8">
      <c r="A41" s="115" t="s">
        <v>267</v>
      </c>
      <c r="B41" s="116">
        <f t="shared" ref="B41:H41" si="8">B33+B39+B34</f>
        <v>20874005.831852298</v>
      </c>
      <c r="C41" s="116">
        <f t="shared" si="8"/>
        <v>23867281.355314683</v>
      </c>
      <c r="D41" s="116">
        <f t="shared" si="8"/>
        <v>27837943.955166593</v>
      </c>
      <c r="E41" s="116">
        <f t="shared" si="8"/>
        <v>32901217.482710678</v>
      </c>
      <c r="F41" s="116">
        <f t="shared" si="8"/>
        <v>39178301.260722183</v>
      </c>
      <c r="G41" s="116">
        <f t="shared" si="8"/>
        <v>46652171.819822229</v>
      </c>
      <c r="H41" s="116">
        <f t="shared" si="8"/>
        <v>55300144.645430245</v>
      </c>
    </row>
    <row r="42" spans="1:8">
      <c r="A42" s="97"/>
      <c r="B42" s="107"/>
      <c r="C42" s="107"/>
      <c r="D42" s="107"/>
      <c r="E42" s="107"/>
      <c r="F42" s="107"/>
      <c r="G42" s="107"/>
      <c r="H42" s="107"/>
    </row>
    <row r="43" spans="1:8">
      <c r="A43" s="109" t="s">
        <v>268</v>
      </c>
      <c r="B43" s="110">
        <f t="shared" ref="B43:H43" si="9">B31+B41</f>
        <v>30961796.665380329</v>
      </c>
      <c r="C43" s="110">
        <f t="shared" si="9"/>
        <v>33925835.778655365</v>
      </c>
      <c r="D43" s="110">
        <f t="shared" si="9"/>
        <v>36937449.308214635</v>
      </c>
      <c r="E43" s="110">
        <f t="shared" si="9"/>
        <v>40889204.874067262</v>
      </c>
      <c r="F43" s="110">
        <f t="shared" si="9"/>
        <v>45879338.368865892</v>
      </c>
      <c r="G43" s="110">
        <f t="shared" si="9"/>
        <v>54312990.680482984</v>
      </c>
      <c r="H43" s="110">
        <f t="shared" si="9"/>
        <v>63999970.841089383</v>
      </c>
    </row>
    <row r="44" spans="1:8">
      <c r="A44" s="97"/>
      <c r="B44" s="117"/>
      <c r="C44" s="117"/>
      <c r="D44" s="117"/>
      <c r="E44" s="117"/>
      <c r="F44" s="117"/>
      <c r="G44" s="117"/>
      <c r="H44" s="117"/>
    </row>
    <row r="45" spans="1:8">
      <c r="A45" s="118" t="s">
        <v>269</v>
      </c>
      <c r="B45" s="119"/>
      <c r="C45" s="119"/>
      <c r="D45" s="119"/>
      <c r="E45" s="119"/>
      <c r="F45" s="119"/>
      <c r="G45" s="119"/>
      <c r="H45" s="119"/>
    </row>
    <row r="46" spans="1:8">
      <c r="A46" s="120" t="s">
        <v>270</v>
      </c>
      <c r="B46" s="121">
        <f t="shared" ref="B46:H46" si="10">B43-B20</f>
        <v>0</v>
      </c>
      <c r="C46" s="121">
        <f t="shared" si="10"/>
        <v>0</v>
      </c>
      <c r="D46" s="121">
        <f t="shared" si="10"/>
        <v>0</v>
      </c>
      <c r="E46" s="121">
        <f t="shared" si="10"/>
        <v>0</v>
      </c>
      <c r="F46" s="121">
        <f t="shared" si="10"/>
        <v>0</v>
      </c>
      <c r="G46" s="121">
        <f t="shared" si="10"/>
        <v>0</v>
      </c>
      <c r="H46" s="121">
        <f t="shared" si="10"/>
        <v>0</v>
      </c>
    </row>
    <row r="47" spans="1:8">
      <c r="A47" s="120"/>
      <c r="B47" s="121"/>
      <c r="C47" s="121"/>
      <c r="D47" s="121"/>
      <c r="E47" s="121"/>
      <c r="F47" s="121"/>
      <c r="G47" s="121"/>
      <c r="H47" s="121"/>
    </row>
    <row r="48" spans="1:8" ht="15.75" thickBot="1">
      <c r="A48" s="122"/>
      <c r="B48" s="123"/>
      <c r="C48" s="123"/>
      <c r="D48" s="123"/>
      <c r="E48" s="123"/>
      <c r="F48" s="123"/>
      <c r="G48" s="123"/>
      <c r="H48" s="123"/>
    </row>
    <row r="49" spans="1:9">
      <c r="B49" s="46"/>
      <c r="C49" s="46"/>
      <c r="D49" s="46"/>
      <c r="E49" s="46"/>
      <c r="F49" s="46"/>
      <c r="G49" s="46"/>
      <c r="H49" s="46"/>
    </row>
    <row r="50" spans="1:9" ht="39.6" customHeight="1">
      <c r="A50" s="442" t="s">
        <v>397</v>
      </c>
      <c r="B50" s="443"/>
      <c r="C50" s="443"/>
      <c r="D50" s="443"/>
      <c r="E50" s="443"/>
      <c r="F50" s="443"/>
      <c r="G50" s="443"/>
      <c r="H50" s="443"/>
      <c r="I50" s="443"/>
    </row>
  </sheetData>
  <mergeCells count="3">
    <mergeCell ref="A1:F1"/>
    <mergeCell ref="A2:H2"/>
    <mergeCell ref="A50:I50"/>
  </mergeCells>
  <conditionalFormatting sqref="B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18</vt:i4>
      </vt:variant>
    </vt:vector>
  </HeadingPairs>
  <TitlesOfParts>
    <vt:vector size="41"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Flour Mill</vt:lpstr>
      <vt:lpstr>13.Facility 2 Cleaning &amp; Gradin</vt:lpstr>
      <vt:lpstr>14. Facility 3 Warehouse</vt:lpstr>
      <vt:lpstr>Sheet3</vt:lpstr>
      <vt:lpstr>15. Facility 4 Custom Hiring</vt:lpstr>
      <vt:lpstr>16.Facility 5 Agri Input</vt:lpstr>
      <vt:lpstr>17.Facility 6 Roasted Channa </vt:lpstr>
      <vt:lpstr>VGF</vt:lpstr>
      <vt:lpstr>Sheet2</vt:lpstr>
      <vt:lpstr>Benefit to farmer</vt:lpstr>
      <vt:lpstr>'1.Project Cost and MOF'!Print_Area</vt:lpstr>
      <vt:lpstr>'10.Grain Production details'!Print_Area</vt:lpstr>
      <vt:lpstr>'11.F&amp;V Crop Production details'!Print_Area</vt:lpstr>
      <vt:lpstr>'12.Facility 1 - Flour Mill'!Print_Area</vt:lpstr>
      <vt:lpstr>'13.Facility 2 Cleaning &amp; Gradin'!Print_Area</vt:lpstr>
      <vt:lpstr>'14. Facility 3 Warehouse'!Print_Area</vt:lpstr>
      <vt:lpstr>'15. Facility 4 Custom Hiring'!Print_Area</vt:lpstr>
      <vt:lpstr>'16.Facility 5 Agri Input'!Print_Area</vt:lpstr>
      <vt:lpstr>'17.Facility 6 Roasted Channa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lpstr>'Benefit to farmer'!Print_Area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2023-06-12T12:01:20Z</dcterms:modified>
</cp:coreProperties>
</file>